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11"/>
  <workbookPr/>
  <mc:AlternateContent xmlns:mc="http://schemas.openxmlformats.org/markup-compatibility/2006">
    <mc:Choice Requires="x15">
      <x15ac:absPath xmlns:x15ac="http://schemas.microsoft.com/office/spreadsheetml/2010/11/ac" url="E:\JAMK\LITA\Hankkeet\Kohti laatua\Laatutyökalut\Omat työkalut\"/>
    </mc:Choice>
  </mc:AlternateContent>
  <xr:revisionPtr revIDLastSave="0" documentId="11_FD41B7D6A0B3C9B9D91B18B0A5EE0B0334A866D4" xr6:coauthVersionLast="40" xr6:coauthVersionMax="40" xr10:uidLastSave="{00000000-0000-0000-0000-000000000000}"/>
  <bookViews>
    <workbookView xWindow="0" yWindow="0" windowWidth="20490" windowHeight="7020" firstSheet="7" activeTab="7" xr2:uid="{00000000-000D-0000-FFFF-FFFF00000000}"/>
  </bookViews>
  <sheets>
    <sheet name="Teoria" sheetId="8" r:id="rId1"/>
    <sheet name="Tuloslaskelma" sheetId="1" r:id="rId2"/>
    <sheet name="Tase" sheetId="2" r:id="rId3"/>
    <sheet name="Tilinpäätös" sheetId="3" r:id="rId4"/>
    <sheet name="Kannattavuus" sheetId="4" r:id="rId5"/>
    <sheet name="Vakavaraisuus" sheetId="5" r:id="rId6"/>
    <sheet name="Maksuvalmius" sheetId="6" r:id="rId7"/>
    <sheet name="Käyttöpääoma" sheetId="7"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2" i="3" l="1"/>
  <c r="M29" i="7"/>
  <c r="C22" i="3"/>
  <c r="I29" i="7"/>
  <c r="C24" i="3"/>
  <c r="I24" i="7"/>
  <c r="M23" i="7"/>
  <c r="D24" i="3"/>
  <c r="M24" i="7"/>
  <c r="N23" i="7"/>
  <c r="M18" i="7"/>
  <c r="I18" i="7"/>
  <c r="I17" i="7"/>
  <c r="J17" i="7"/>
  <c r="I21" i="7"/>
  <c r="J20" i="7"/>
  <c r="C11" i="3"/>
  <c r="I12" i="7"/>
  <c r="C21" i="3"/>
  <c r="I13" i="7"/>
  <c r="J12" i="7"/>
  <c r="I7" i="7"/>
  <c r="I11" i="6"/>
  <c r="D19" i="3"/>
  <c r="D20" i="3"/>
  <c r="D25" i="3"/>
  <c r="M10" i="6"/>
  <c r="D11" i="3"/>
  <c r="M11" i="6"/>
  <c r="N10" i="6"/>
  <c r="M8" i="6"/>
  <c r="C25" i="3"/>
  <c r="I8" i="6"/>
  <c r="M4" i="6"/>
  <c r="C27" i="3"/>
  <c r="I5" i="5"/>
  <c r="D23" i="3"/>
  <c r="M4" i="5"/>
  <c r="D27" i="3"/>
  <c r="M5" i="5"/>
  <c r="N4" i="5"/>
  <c r="D12" i="3"/>
  <c r="M10" i="4"/>
  <c r="C15" i="3"/>
  <c r="I7" i="4"/>
  <c r="I5" i="4"/>
  <c r="M4" i="4"/>
  <c r="E27" i="3"/>
  <c r="E26" i="3"/>
  <c r="D26" i="3"/>
  <c r="D18" i="3"/>
  <c r="M7" i="5"/>
  <c r="C26" i="3"/>
  <c r="C18" i="3"/>
  <c r="I7" i="5"/>
  <c r="E25" i="3"/>
  <c r="M5" i="6"/>
  <c r="I5" i="6"/>
  <c r="E23" i="3"/>
  <c r="M8" i="5"/>
  <c r="C23" i="3"/>
  <c r="I4" i="5"/>
  <c r="J4" i="5"/>
  <c r="I23" i="7"/>
  <c r="J23" i="7"/>
  <c r="D21" i="3"/>
  <c r="M13" i="7"/>
  <c r="C20" i="3"/>
  <c r="I4" i="6"/>
  <c r="J4" i="6"/>
  <c r="M28" i="7"/>
  <c r="N28" i="7"/>
  <c r="M32" i="7"/>
  <c r="N31" i="7"/>
  <c r="C19" i="3"/>
  <c r="I10" i="6"/>
  <c r="J10" i="6"/>
  <c r="E15" i="3"/>
  <c r="D15" i="3"/>
  <c r="M7" i="4"/>
  <c r="E14" i="3"/>
  <c r="D14" i="3"/>
  <c r="D13" i="3"/>
  <c r="M13" i="4"/>
  <c r="C14" i="3"/>
  <c r="C13" i="3"/>
  <c r="I13" i="4"/>
  <c r="E13" i="3"/>
  <c r="E12" i="3"/>
  <c r="C12" i="3"/>
  <c r="I10" i="4"/>
  <c r="E11" i="3"/>
  <c r="N4" i="6"/>
  <c r="M5" i="4"/>
  <c r="N4" i="4"/>
  <c r="I8" i="5"/>
  <c r="J7" i="5"/>
  <c r="M14" i="4"/>
  <c r="N13" i="4"/>
  <c r="N7" i="5"/>
  <c r="I8" i="4"/>
  <c r="J7" i="4"/>
  <c r="I14" i="4"/>
  <c r="J13" i="4"/>
  <c r="I7" i="6"/>
  <c r="J7" i="6"/>
  <c r="I6" i="7"/>
  <c r="J6" i="7"/>
  <c r="M12" i="7"/>
  <c r="N12" i="7"/>
  <c r="I28" i="7"/>
  <c r="J28" i="7"/>
  <c r="I32" i="7"/>
  <c r="J31" i="7"/>
  <c r="M8" i="4"/>
  <c r="N7" i="4"/>
  <c r="M7" i="7"/>
  <c r="I4" i="4"/>
  <c r="J4" i="4"/>
  <c r="I11" i="4"/>
  <c r="J10" i="4"/>
  <c r="M7" i="6"/>
  <c r="N7" i="6"/>
  <c r="M6" i="7"/>
  <c r="N6" i="7"/>
  <c r="M17" i="7"/>
  <c r="N17" i="7"/>
  <c r="M21" i="7"/>
  <c r="N20" i="7"/>
  <c r="M11" i="4"/>
  <c r="N10" i="4"/>
  <c r="J36" i="7"/>
  <c r="I10" i="7"/>
  <c r="J9" i="7"/>
  <c r="N36" i="7"/>
  <c r="M10" i="7"/>
  <c r="N9" i="7"/>
</calcChain>
</file>

<file path=xl/sharedStrings.xml><?xml version="1.0" encoding="utf-8"?>
<sst xmlns="http://schemas.openxmlformats.org/spreadsheetml/2006/main" count="227" uniqueCount="172">
  <si>
    <t>TULOSLASKELMA JA TASE</t>
  </si>
  <si>
    <t>KULULAJIKOHTAINEN TULOSLASKELMA OSAKEYHTIÖLLE</t>
  </si>
  <si>
    <t>Erä</t>
  </si>
  <si>
    <t>Selitys</t>
  </si>
  <si>
    <t>LIIKEVAIHTO</t>
  </si>
  <si>
    <t>Liikevaihto on arvonlisäveroton myynti.</t>
  </si>
  <si>
    <t>Valmistevaraston lisäys (+) tai vähennys (-)</t>
  </si>
  <si>
    <t>Tämä erä kohdistuu yrityksen omassa toiminnassa jalostettuun varastoon eli valmiisiin, puolivalmiisiin ja keskeneräisiin suoritteisiin. Kauppaliikkeen tavaravaraston muutos esitetään Varaston muutos -kohdassa.</t>
  </si>
  <si>
    <t>Valmistus omaan käyttöön (+)</t>
  </si>
  <si>
    <t>Liiketoiminnan muut tuotot</t>
  </si>
  <si>
    <t>Koostuvat muista kuin liikevaihtoon tai rahoitustuottoihin sisällytettävistä liiketoiminnasta syntyvistä tuotoista. Muilla tuotoilla on yhteys varsinaiseen suoritetuotantoon, mutta ne eivät kuitenkaan kuulu siihen. Tähän erään merkitään esimerkiksi pysyvien vastaavien luovutusvoitot ja mahdolliset toimintaan saadut avustukset.</t>
  </si>
  <si>
    <t>- Materiaalit ja palvelut</t>
  </si>
  <si>
    <t>Aineissa ja tarvikkeissa täytyy huomioida suoriteperusteinen jaksotus siten, että tilikauden aineiden ja tarvikkeiden ostoista vähennetään se osa, joka jää varastoon (eli aktivoidaan taseeseen). Toisin sanoen varaston kasvu (+) pienentää aine- ja tarvikekuluja ja varaston pienentyminen (-) lisätään aine- ja tarvikekuluksi tilikaudelle.
Ulkopuoliset palvelut muodostuvat kirjanpitovelvollisen tuotteisiin tai myytäviin palveluihin liittyvistä palvelujen ostoista. Näitä ovat esimerkiksi alihankinnat ja työvoiman vuokrauskulut.</t>
  </si>
  <si>
    <t>• Aineet ja tarvikkeet</t>
  </si>
  <si>
    <t>- Ostot tilikauden aikana</t>
  </si>
  <si>
    <t>+/- Varaston muutos</t>
  </si>
  <si>
    <t>• Ulkopuoliset palvelut</t>
  </si>
  <si>
    <t>- Henkilöstökulut</t>
  </si>
  <si>
    <t>Palkat ja palkkiot sisältävät ennakonpidätyksen alaiset palkat ja palkkiot. Luontoisetujen verotusarvoja ei merkitä palkkoihin, vaan luontoiseduista aiheutuvat todelliset kulut sisältyvät luonteensa mukaiseen kululajiin (esim. liiketoiminnan muut kulut).
Eläkekulut muodostuvat eläkemenoista ja eläkevastuun kattamisesta.
Muut henkilösivukulut määräytyvät palkkasumman perusteella, ja ne voivat olla joko lakisääteisiä tai vapaaehtoisia. Lakisääteisiä ovat esim. sosiaaliturvamaksut ja pakolliset henkilövakuutusmaksut. Vapaaehtoisia ovat esim. eräät vakuutusmaksut.</t>
  </si>
  <si>
    <t>• Palkat ja palkkiot</t>
  </si>
  <si>
    <t>• Eläkekulut</t>
  </si>
  <si>
    <t>• Muut henkilösivukulut</t>
  </si>
  <si>
    <t>- Poistot ja arvonalentumiset</t>
  </si>
  <si>
    <t>Suunnitelman mukaiset poistot esitetään ajan kulumisen perusteella kirjattavat suunnitelmapoistot sekä poistosuunnitelman muuttamisesta johtuvat kertaluonteiset ylimääräiset poistot.
Arvonalentumiset pysyvien vastaavien hyödykkeistä ovat aineettomista ja aineellisista hyödykkeistä tulevaisuudessa kertyvän tulon pienenemisen vuoksi tehtäviä arvonalentumispoistoja.
Poikkeuksellisista syistä johtuvat vaihto-omaisuuden arvonalennukset; esimerkiksi tulipaloista tai muista onnettomuuksista aiheutuvat arvonalentumiset.</t>
  </si>
  <si>
    <t>• Suunnitelman mukaiset poistot</t>
  </si>
  <si>
    <t>• Arvonalentumiset pysyvien vastaavien hyödykkeistä</t>
  </si>
  <si>
    <t>• Vaihtuvien vastaavien poikkeukselliset arvonalentumiset</t>
  </si>
  <si>
    <t>- Liiketoiminnan muut kulut</t>
  </si>
  <si>
    <t>Muut kuin yllä esitetyt liiketoimintaan sisältyvät tavanomaiset tai säännönmukaiset syntyvät kulut. Näitä ovat esimerkiksi vuokrakulut, vakuutukset, tilitoimistopalvelut, markkinointimenot, luottotappiot suoritteiden myynnistä, myyntiprovisiot ja myyntirahdit sekä pysyvien vastaavien luovutustappiot.</t>
  </si>
  <si>
    <t>= LIIKEVOITTO (-TAPPIO)</t>
  </si>
  <si>
    <t>+ Rahoitustuotot</t>
  </si>
  <si>
    <t>Huomaa, että rahoitustuottoihin ja -kuluihin eivät kuulu lainojen lisäykset ja lyhennykset. Näissä erissä esimerkiksi korkokulut ja muut rahoituskulut. Erä on jaettava saman konsernin yrityksiltä ja muilta saatuihin tuottoihin.</t>
  </si>
  <si>
    <t>- Rahoituskulut</t>
  </si>
  <si>
    <t>= VOITTO (TAPPIO) ENNEN TILINPÄÄTÖSSIIRTOJA JA VEROJA</t>
  </si>
  <si>
    <t>Tilinpäätössiirrot</t>
  </si>
  <si>
    <t>Poistoeron muutos -kohdassa esitetään kokonaispoistojen ja suunnitelman mukaisten poistojen ero tilikaudella. Poistoero voi olla joko lisäystä eli ylipoistoa (-) tai vähennystä eli alipoistoa (+).
Verotusperusteisten varausten muutos voi olla joko varausten lisäystä (-) tai vähennystä (+) tilikaudella.
Konserniavustus on tilinpäätös- ja verosuunnitteluerä, jonka edellytyksistä säädetään laissa konserniavustuksesta verotuksesssa. Konserniavustus on sen antajalle vähennyskelpoinen kulu ja saajalle veronalainen tuotto.</t>
  </si>
  <si>
    <t>• Poistoeron muutos</t>
  </si>
  <si>
    <t>• Verotusperusteisten varausten muutos</t>
  </si>
  <si>
    <t>• Konserniavustus</t>
  </si>
  <si>
    <t>- Tuloverot</t>
  </si>
  <si>
    <t>Tuloverot ovat yrityksen verotettavan tuloksen perusteella määräytyviä veroja. Tuloverot jaetaan tuloslaskelmassa verotettavan tuloksen perusteella laskettaviin sekä verotettavan tuloksen ja kirjanpidon tuloksen eroista laskennallisiin veroihin.</t>
  </si>
  <si>
    <t>- Muut välittömät verot</t>
  </si>
  <si>
    <t>= TILIKAUDEN VOITTO (TAPPIO)</t>
  </si>
  <si>
    <t>TASEEN RAKENNE</t>
  </si>
  <si>
    <t>VASTAAVAA</t>
  </si>
  <si>
    <t>VASTATTAVAA</t>
  </si>
  <si>
    <t>PYSYVÄT VASTAAVAT</t>
  </si>
  <si>
    <t>OMA PÄÄOMA</t>
  </si>
  <si>
    <t>Aineettomat hyödykkeet</t>
  </si>
  <si>
    <t>Osakepääoma</t>
  </si>
  <si>
    <t>Aineelliset hyödykkeet (esimerkiksi)</t>
  </si>
  <si>
    <t>Ylikurssirahasto</t>
  </si>
  <si>
    <t>• Maa- ja vesialueet</t>
  </si>
  <si>
    <t>• Rakennukset ja rakennelmat</t>
  </si>
  <si>
    <t>• Koneet ja kalusto</t>
  </si>
  <si>
    <t>Sijoitukset</t>
  </si>
  <si>
    <t>Arvonkorotusrahasto</t>
  </si>
  <si>
    <t>VAIHTUVAT VASTAAVAT</t>
  </si>
  <si>
    <t>Muut rahastot (mm. SVOP)</t>
  </si>
  <si>
    <t>Vaihto-omaisuus (esimerkiksi)</t>
  </si>
  <si>
    <t>Edellisten tilikausien voitto (tappio)</t>
  </si>
  <si>
    <t>• Keskeneräiset tuotteet</t>
  </si>
  <si>
    <t>• Valmiit tuotteet ja tavarat</t>
  </si>
  <si>
    <t>Saamiset  (esimerkiksi)</t>
  </si>
  <si>
    <t>Tilikauden voitto (tappio)</t>
  </si>
  <si>
    <t>• Myyntisaamiset</t>
  </si>
  <si>
    <t>• Lainasaamiset (lyhyt- ja pitkäaikaiset)</t>
  </si>
  <si>
    <t>Rahoitusarvopaperit</t>
  </si>
  <si>
    <t>TILINPÄÄTÖSSIIRTOJEN KERTYMÄ</t>
  </si>
  <si>
    <t>Rahat ja pankkisaamiset</t>
  </si>
  <si>
    <t>PAKOLLISET VARAUKSET</t>
  </si>
  <si>
    <t>VIERAS PÄÄOMA</t>
  </si>
  <si>
    <t>• Lainat rahoituslaitoksilta</t>
  </si>
  <si>
    <t>• Ostovelat</t>
  </si>
  <si>
    <t>• Muut velat</t>
  </si>
  <si>
    <t>• Siirtovelat</t>
  </si>
  <si>
    <t>(Eriteltynä lyhyt- ja pitkäaikaiset)</t>
  </si>
  <si>
    <t>VASTAAVAA YHTEENSÄ</t>
  </si>
  <si>
    <t>VASTATTAVAA YHTEENSÄ</t>
  </si>
  <si>
    <t>Kerroin</t>
  </si>
  <si>
    <t>20X2</t>
  </si>
  <si>
    <t>20X1</t>
  </si>
  <si>
    <t>20X0</t>
  </si>
  <si>
    <t>Yritys Oy</t>
  </si>
  <si>
    <t>Tilinpäätöksen erä (1 000 euroa)</t>
  </si>
  <si>
    <t>http://www.balanceconsulting.fi/tunnusluvut</t>
  </si>
  <si>
    <t>https://www.almatalent.fi/tietopalvelut/tunnuslukuopas</t>
  </si>
  <si>
    <t>Tuloslaskelma</t>
  </si>
  <si>
    <t>Liiketoiminnan tuotot yhteensä</t>
  </si>
  <si>
    <t>Liikevoitto</t>
  </si>
  <si>
    <t>Rahoituskulut</t>
  </si>
  <si>
    <t>Voitto ennen satunnaisia eriä</t>
  </si>
  <si>
    <t>Tilikauden tulos</t>
  </si>
  <si>
    <t>Tase</t>
  </si>
  <si>
    <t>Rahavarat</t>
  </si>
  <si>
    <t>Vaihto-omaisuus</t>
  </si>
  <si>
    <t>Lyhytaikaiset saamiset ja rahavarat</t>
  </si>
  <si>
    <t>Myyntisaamiset</t>
  </si>
  <si>
    <t>Ostot</t>
  </si>
  <si>
    <t>Oma pääoma</t>
  </si>
  <si>
    <t>Ostovelat</t>
  </si>
  <si>
    <t>Korottomat velat</t>
  </si>
  <si>
    <t>Korollinen vieras pääoma</t>
  </si>
  <si>
    <t>Taseen loppusumma</t>
  </si>
  <si>
    <t>Kannattavuuden tunnusluvut</t>
  </si>
  <si>
    <t>Liikevoitto-%</t>
  </si>
  <si>
    <t>=</t>
  </si>
  <si>
    <t>liikevoitto</t>
  </si>
  <si>
    <t>liikevaihto</t>
  </si>
  <si>
    <t>Oman pääoman tuotto-% (ROE)</t>
  </si>
  <si>
    <t>tilikauden voitto</t>
  </si>
  <si>
    <t>oma pääoma (keskimäärin)</t>
  </si>
  <si>
    <t>Koko pääoman tuotto-% (ROA)</t>
  </si>
  <si>
    <t>taseen loppusumma (keskimäärin)</t>
  </si>
  <si>
    <t>Sijoitetun pääoman tuotto-% (ROI)</t>
  </si>
  <si>
    <t>voitto ennen veroja + korko- ja muut rahoituskulut</t>
  </si>
  <si>
    <t>taseen loppusumma - korottomat velat (keskim.)</t>
  </si>
  <si>
    <t>Vakavaraisuuden tunnusluvut</t>
  </si>
  <si>
    <t>Omavaraisuusaste</t>
  </si>
  <si>
    <t>oma pääoma</t>
  </si>
  <si>
    <t>taseen loppusumma</t>
  </si>
  <si>
    <t>Gearing-%</t>
  </si>
  <si>
    <t>korollinen vieras pääoma - rahavarat</t>
  </si>
  <si>
    <t>Yrityksen vakavaraisuus</t>
  </si>
  <si>
    <t>&gt; 40 %</t>
  </si>
  <si>
    <t>hyvä</t>
  </si>
  <si>
    <t>20-40 %</t>
  </si>
  <si>
    <t>tyydyttävä</t>
  </si>
  <si>
    <t>&lt; 20 %</t>
  </si>
  <si>
    <t>heikko</t>
  </si>
  <si>
    <t>Nettovelkaantumisaste</t>
  </si>
  <si>
    <t>≤ 50 %</t>
  </si>
  <si>
    <t>51-100 %</t>
  </si>
  <si>
    <t>&gt; 100%</t>
  </si>
  <si>
    <t>Maksuvalmiuden tunnusluvut</t>
  </si>
  <si>
    <t>Quick ratio</t>
  </si>
  <si>
    <t>lyhytaikaiset saamiset</t>
  </si>
  <si>
    <t>lyhytaikainen vieras pääoma</t>
  </si>
  <si>
    <t>Current ratio</t>
  </si>
  <si>
    <t>vaihto-omaisuus + lyhytaikaiset saamiset</t>
  </si>
  <si>
    <t>Nettokäyttöpääoma-%</t>
  </si>
  <si>
    <t>vaihtuvat vastaavat - lyhytaikainen vieras pääoma</t>
  </si>
  <si>
    <t>Yrityksen maksuvalmius</t>
  </si>
  <si>
    <t>&gt; 1</t>
  </si>
  <si>
    <t>0.5-1</t>
  </si>
  <si>
    <t>&lt; 0.5</t>
  </si>
  <si>
    <t>&gt; 2</t>
  </si>
  <si>
    <t>1-2</t>
  </si>
  <si>
    <t>&lt; 1</t>
  </si>
  <si>
    <t>Käyttöpääoman erien kiertoajat</t>
  </si>
  <si>
    <t>Myyntisaamisten kiertoaika (pv)</t>
  </si>
  <si>
    <t>myyntisaamiset</t>
  </si>
  <si>
    <t>liikevaihto / 365</t>
  </si>
  <si>
    <t>Myyntisaamisten kiertonopeus</t>
  </si>
  <si>
    <t>myyntisaamisten kiertoaika</t>
  </si>
  <si>
    <t>tarkastelujakson liikevaihto</t>
  </si>
  <si>
    <t>myyntisaamisten määrä tarkastelujakson lopussa</t>
  </si>
  <si>
    <t>Ostovelkojen kiertoaika (pv)</t>
  </si>
  <si>
    <t>ostovelat</t>
  </si>
  <si>
    <t>ostot / 365</t>
  </si>
  <si>
    <t>Ostovelkojen kiertonopeus</t>
  </si>
  <si>
    <t>ostovelkojen kiertoaika</t>
  </si>
  <si>
    <t>tarkastelujakson ostot</t>
  </si>
  <si>
    <t>ostovelat tarkastelujakson lopussa</t>
  </si>
  <si>
    <t>Varastot</t>
  </si>
  <si>
    <t>Varastojen kiertoaika (pv)</t>
  </si>
  <si>
    <t>vaihto-omaisuus</t>
  </si>
  <si>
    <t>Varastojen kiertonopeus</t>
  </si>
  <si>
    <t>varastojen kiertoaika</t>
  </si>
  <si>
    <t>Nettokäyttöpääoma</t>
  </si>
  <si>
    <t>Nettokäyttöpääoman kiertoaika (pv)</t>
  </si>
  <si>
    <t>myyntisaatavien kiertoaika + varastojen kiertoaika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</si>
</sst>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font>
      <sz val="11"/>
      <color theme="1"/>
      <name val="Calibri"/>
      <family val="2"/>
      <scheme val="minor"/>
    </font>
    <font>
      <sz val="11"/>
      <color theme="1"/>
      <name val="Calibri"/>
      <family val="2"/>
      <scheme val="minor"/>
    </font>
    <font>
      <sz val="11"/>
      <color theme="1"/>
      <name val="Arial Narrow"/>
      <family val="2"/>
    </font>
    <font>
      <sz val="11"/>
      <color theme="1"/>
      <name val="Bahnschrift Light SemiCondensed"/>
      <family val="2"/>
    </font>
    <font>
      <b/>
      <sz val="11"/>
      <color theme="1"/>
      <name val="Bahnschrift Light SemiCondensed"/>
      <family val="2"/>
    </font>
    <font>
      <b/>
      <sz val="20"/>
      <color theme="1"/>
      <name val="Bahnschrift Light SemiCondensed"/>
      <family val="2"/>
    </font>
    <font>
      <b/>
      <sz val="14"/>
      <color theme="1"/>
      <name val="Bahnschrift Light SemiCondensed"/>
      <family val="2"/>
    </font>
    <font>
      <b/>
      <sz val="16"/>
      <color theme="1"/>
      <name val="Bahnschrift Light SemiCondensed"/>
      <family val="2"/>
    </font>
    <font>
      <sz val="10"/>
      <color theme="1"/>
      <name val="Bahnschrift Light SemiCondensed"/>
      <family val="2"/>
    </font>
    <font>
      <sz val="14"/>
      <color theme="1"/>
      <name val="Bahnschrift Light SemiCondensed"/>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79">
    <xf numFmtId="0" fontId="0" fillId="0" borderId="0" xfId="0"/>
    <xf numFmtId="0" fontId="3" fillId="2" borderId="0" xfId="0" applyFont="1" applyFill="1"/>
    <xf numFmtId="0" fontId="4" fillId="3" borderId="0" xfId="0" applyFont="1" applyFill="1"/>
    <xf numFmtId="0" fontId="3" fillId="3" borderId="0" xfId="0" applyFont="1" applyFill="1"/>
    <xf numFmtId="0" fontId="4" fillId="3" borderId="1" xfId="0" applyFont="1" applyFill="1" applyBorder="1"/>
    <xf numFmtId="0" fontId="3" fillId="3" borderId="1" xfId="0" applyFont="1" applyFill="1" applyBorder="1"/>
    <xf numFmtId="0" fontId="4" fillId="2" borderId="1" xfId="0" applyFont="1" applyFill="1" applyBorder="1"/>
    <xf numFmtId="0" fontId="3" fillId="3" borderId="2" xfId="0" quotePrefix="1" applyFont="1" applyFill="1" applyBorder="1"/>
    <xf numFmtId="0" fontId="2" fillId="3" borderId="3" xfId="0" applyFont="1" applyFill="1" applyBorder="1" applyAlignment="1">
      <alignment horizontal="left" indent="2"/>
    </xf>
    <xf numFmtId="0" fontId="3" fillId="3" borderId="3" xfId="0" quotePrefix="1" applyFont="1" applyFill="1" applyBorder="1" applyAlignment="1">
      <alignment horizontal="left" indent="4"/>
    </xf>
    <xf numFmtId="0" fontId="2" fillId="3" borderId="4" xfId="0" applyFont="1" applyFill="1" applyBorder="1" applyAlignment="1">
      <alignment horizontal="left" indent="2"/>
    </xf>
    <xf numFmtId="0" fontId="3" fillId="3" borderId="2" xfId="0" applyFont="1" applyFill="1" applyBorder="1"/>
    <xf numFmtId="0" fontId="3" fillId="3" borderId="3" xfId="0" applyFont="1" applyFill="1" applyBorder="1"/>
    <xf numFmtId="0" fontId="3" fillId="3" borderId="4" xfId="0" applyFont="1" applyFill="1" applyBorder="1"/>
    <xf numFmtId="0" fontId="3" fillId="3" borderId="0" xfId="0" applyFont="1" applyFill="1" applyBorder="1"/>
    <xf numFmtId="0" fontId="3" fillId="3" borderId="5" xfId="0" applyFont="1" applyFill="1" applyBorder="1"/>
    <xf numFmtId="0" fontId="4" fillId="3" borderId="6" xfId="0" quotePrefix="1" applyFont="1" applyFill="1" applyBorder="1"/>
    <xf numFmtId="0" fontId="3" fillId="3" borderId="8" xfId="0" applyFont="1" applyFill="1" applyBorder="1"/>
    <xf numFmtId="0" fontId="3" fillId="3" borderId="9" xfId="0" quotePrefix="1" applyFont="1" applyFill="1" applyBorder="1"/>
    <xf numFmtId="0" fontId="3" fillId="3" borderId="11" xfId="0" quotePrefix="1" applyFont="1" applyFill="1" applyBorder="1"/>
    <xf numFmtId="0" fontId="4" fillId="3" borderId="1" xfId="0" quotePrefix="1" applyFont="1" applyFill="1" applyBorder="1"/>
    <xf numFmtId="0" fontId="3" fillId="3" borderId="4" xfId="0" quotePrefix="1" applyFont="1" applyFill="1" applyBorder="1"/>
    <xf numFmtId="0" fontId="3" fillId="3" borderId="3" xfId="0" quotePrefix="1" applyFont="1" applyFill="1" applyBorder="1"/>
    <xf numFmtId="0" fontId="3" fillId="3" borderId="7" xfId="0" applyFont="1" applyFill="1" applyBorder="1"/>
    <xf numFmtId="0" fontId="2" fillId="3" borderId="9" xfId="0" applyFont="1" applyFill="1" applyBorder="1" applyAlignment="1">
      <alignment horizontal="left" indent="2"/>
    </xf>
    <xf numFmtId="0" fontId="3" fillId="3" borderId="10" xfId="0" applyFont="1" applyFill="1" applyBorder="1"/>
    <xf numFmtId="0" fontId="2" fillId="3" borderId="11" xfId="0" applyFont="1" applyFill="1" applyBorder="1" applyAlignment="1">
      <alignment horizontal="left" indent="2"/>
    </xf>
    <xf numFmtId="0" fontId="3" fillId="3" borderId="12" xfId="0" applyFont="1" applyFill="1" applyBorder="1"/>
    <xf numFmtId="0" fontId="3" fillId="3" borderId="6" xfId="0" applyFont="1" applyFill="1" applyBorder="1"/>
    <xf numFmtId="0" fontId="2" fillId="3" borderId="4" xfId="0" applyFont="1" applyFill="1" applyBorder="1" applyAlignment="1">
      <alignment horizontal="left"/>
    </xf>
    <xf numFmtId="0" fontId="3" fillId="3" borderId="1" xfId="0" applyFont="1" applyFill="1" applyBorder="1" applyAlignment="1">
      <alignment horizontal="left" vertical="top" wrapText="1"/>
    </xf>
    <xf numFmtId="0" fontId="3" fillId="3" borderId="2" xfId="0" applyFont="1" applyFill="1" applyBorder="1" applyAlignment="1">
      <alignment vertical="top"/>
    </xf>
    <xf numFmtId="0" fontId="4" fillId="3" borderId="2" xfId="0" quotePrefix="1" applyFont="1" applyFill="1" applyBorder="1"/>
    <xf numFmtId="2" fontId="3" fillId="4" borderId="0" xfId="0" applyNumberFormat="1" applyFont="1" applyFill="1"/>
    <xf numFmtId="164" fontId="3" fillId="3" borderId="0" xfId="0" applyNumberFormat="1" applyFont="1" applyFill="1"/>
    <xf numFmtId="0" fontId="5" fillId="3" borderId="0" xfId="0" applyFont="1" applyFill="1"/>
    <xf numFmtId="0" fontId="6" fillId="3" borderId="0" xfId="0" applyFont="1" applyFill="1"/>
    <xf numFmtId="0" fontId="6" fillId="3" borderId="0" xfId="0" applyFont="1" applyFill="1" applyAlignment="1">
      <alignment horizontal="right"/>
    </xf>
    <xf numFmtId="3" fontId="3" fillId="3" borderId="0" xfId="0" applyNumberFormat="1" applyFont="1" applyFill="1"/>
    <xf numFmtId="3" fontId="3" fillId="2" borderId="0" xfId="0" applyNumberFormat="1" applyFont="1" applyFill="1"/>
    <xf numFmtId="0" fontId="7" fillId="3" borderId="0" xfId="0" applyFont="1" applyFill="1"/>
    <xf numFmtId="0" fontId="3" fillId="3" borderId="0" xfId="0" applyFont="1" applyFill="1" applyAlignment="1">
      <alignment horizontal="center" vertical="center"/>
    </xf>
    <xf numFmtId="0" fontId="8" fillId="3" borderId="0" xfId="0" applyFont="1" applyFill="1"/>
    <xf numFmtId="0" fontId="3" fillId="5" borderId="0" xfId="0" applyFont="1" applyFill="1"/>
    <xf numFmtId="0" fontId="8" fillId="5" borderId="13" xfId="0" applyFont="1" applyFill="1" applyBorder="1" applyAlignment="1">
      <alignment horizontal="center"/>
    </xf>
    <xf numFmtId="0" fontId="3" fillId="5" borderId="0" xfId="0" applyFont="1" applyFill="1" applyBorder="1" applyAlignment="1">
      <alignment horizontal="center"/>
    </xf>
    <xf numFmtId="3" fontId="3" fillId="2" borderId="13" xfId="0" applyNumberFormat="1" applyFont="1" applyFill="1" applyBorder="1" applyAlignment="1">
      <alignment horizontal="center"/>
    </xf>
    <xf numFmtId="0" fontId="8" fillId="5" borderId="0" xfId="0" applyFont="1" applyFill="1" applyAlignment="1">
      <alignment horizontal="center"/>
    </xf>
    <xf numFmtId="0" fontId="3" fillId="5" borderId="0" xfId="0" applyFont="1" applyFill="1" applyAlignment="1">
      <alignment horizontal="center"/>
    </xf>
    <xf numFmtId="3" fontId="3" fillId="2" borderId="0" xfId="0" applyNumberFormat="1" applyFont="1" applyFill="1" applyAlignment="1">
      <alignment horizontal="center"/>
    </xf>
    <xf numFmtId="0" fontId="4" fillId="3" borderId="6" xfId="0" applyFont="1" applyFill="1" applyBorder="1"/>
    <xf numFmtId="0" fontId="3" fillId="3" borderId="14" xfId="0" applyFont="1" applyFill="1" applyBorder="1"/>
    <xf numFmtId="0" fontId="3" fillId="3" borderId="5" xfId="0" applyFont="1" applyFill="1" applyBorder="1" applyAlignment="1">
      <alignment horizontal="center" vertical="center"/>
    </xf>
    <xf numFmtId="0" fontId="3" fillId="3" borderId="11" xfId="0" applyFont="1" applyFill="1" applyBorder="1"/>
    <xf numFmtId="0" fontId="3" fillId="3" borderId="13" xfId="0" applyFont="1" applyFill="1" applyBorder="1"/>
    <xf numFmtId="0" fontId="3" fillId="3" borderId="12" xfId="0" applyFont="1" applyFill="1" applyBorder="1" applyAlignment="1">
      <alignment horizontal="center" vertical="center"/>
    </xf>
    <xf numFmtId="16" fontId="3" fillId="3" borderId="6" xfId="0" quotePrefix="1" applyNumberFormat="1" applyFont="1" applyFill="1" applyBorder="1"/>
    <xf numFmtId="0" fontId="8" fillId="5" borderId="0" xfId="0" applyFont="1" applyFill="1" applyBorder="1" applyAlignment="1">
      <alignment horizontal="center"/>
    </xf>
    <xf numFmtId="3" fontId="3" fillId="2" borderId="0" xfId="0" applyNumberFormat="1" applyFont="1" applyFill="1" applyBorder="1" applyAlignment="1">
      <alignment horizontal="center"/>
    </xf>
    <xf numFmtId="0" fontId="3" fillId="2" borderId="0" xfId="0" applyFont="1" applyFill="1" applyBorder="1"/>
    <xf numFmtId="0" fontId="4" fillId="3" borderId="0" xfId="0" applyFont="1" applyFill="1" applyAlignment="1">
      <alignment horizontal="right"/>
    </xf>
    <xf numFmtId="0" fontId="3" fillId="3" borderId="2" xfId="0" applyFont="1" applyFill="1" applyBorder="1" applyAlignment="1">
      <alignment horizontal="left" vertical="top"/>
    </xf>
    <xf numFmtId="0" fontId="3" fillId="3" borderId="3" xfId="0" applyFont="1" applyFill="1" applyBorder="1" applyAlignment="1">
      <alignment horizontal="left" vertical="top"/>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7" xfId="0" quotePrefix="1" applyFont="1" applyFill="1" applyBorder="1" applyAlignment="1">
      <alignment horizontal="left" vertical="top"/>
    </xf>
    <xf numFmtId="0" fontId="3" fillId="3" borderId="11" xfId="0" quotePrefix="1" applyFont="1" applyFill="1" applyBorder="1" applyAlignment="1">
      <alignment horizontal="left" vertical="top"/>
    </xf>
    <xf numFmtId="0" fontId="3" fillId="3" borderId="4" xfId="0" applyFont="1" applyFill="1" applyBorder="1" applyAlignment="1">
      <alignment horizontal="left" vertical="top" wrapText="1"/>
    </xf>
    <xf numFmtId="0" fontId="3" fillId="3" borderId="5" xfId="0" applyFont="1" applyFill="1" applyBorder="1" applyAlignment="1">
      <alignment horizontal="left" vertical="top" wrapText="1"/>
    </xf>
    <xf numFmtId="0" fontId="4" fillId="3" borderId="0" xfId="0" applyFont="1" applyFill="1" applyAlignment="1">
      <alignment horizontal="right"/>
    </xf>
    <xf numFmtId="0" fontId="9" fillId="5" borderId="0" xfId="0" applyFont="1" applyFill="1" applyAlignment="1">
      <alignment horizontal="left" vertical="center"/>
    </xf>
    <xf numFmtId="0" fontId="3" fillId="5" borderId="0" xfId="0" applyFont="1" applyFill="1" applyAlignment="1">
      <alignment horizontal="center" vertical="center"/>
    </xf>
    <xf numFmtId="10" fontId="3" fillId="2" borderId="0" xfId="1" applyNumberFormat="1" applyFont="1" applyFill="1" applyAlignment="1">
      <alignment horizontal="right" vertical="center"/>
    </xf>
    <xf numFmtId="2" fontId="3" fillId="2" borderId="0" xfId="1" applyNumberFormat="1" applyFont="1" applyFill="1" applyAlignment="1">
      <alignment horizontal="right" vertical="center"/>
    </xf>
    <xf numFmtId="1" fontId="3" fillId="2" borderId="0" xfId="1" applyNumberFormat="1" applyFont="1" applyFill="1" applyAlignment="1">
      <alignment horizontal="right" vertical="center"/>
    </xf>
    <xf numFmtId="1" fontId="3" fillId="2" borderId="0" xfId="1" applyNumberFormat="1" applyFont="1" applyFill="1" applyBorder="1" applyAlignment="1">
      <alignment horizontal="right" vertical="center"/>
    </xf>
  </cellXfs>
  <cellStyles count="2">
    <cellStyle name="Normaali" xfId="0" builtinId="0"/>
    <cellStyle name="Prosentti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28575</xdr:colOff>
      <xdr:row>2</xdr:row>
      <xdr:rowOff>104774</xdr:rowOff>
    </xdr:from>
    <xdr:ext cx="6057900" cy="5467351"/>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09550" y="466724"/>
          <a:ext cx="6057900" cy="5467351"/>
        </a:xfrm>
        <a:prstGeom prst="rect">
          <a:avLst/>
        </a:prstGeom>
        <a:solidFill>
          <a:schemeClr val="bg1">
            <a:lumMod val="95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i-FI" sz="1100">
              <a:latin typeface="Bahnschrift Light SemiCondensed" panose="020B0502040204020203" pitchFamily="34" charset="0"/>
            </a:rPr>
            <a:t>TEORIA:</a:t>
          </a:r>
        </a:p>
        <a:p>
          <a:endParaRPr lang="fi-FI" sz="1100">
            <a:latin typeface="Bahnschrift Light SemiCondensed" panose="020B0502040204020203" pitchFamily="34" charset="0"/>
          </a:endParaRPr>
        </a:p>
        <a:p>
          <a:r>
            <a:rPr lang="fi-FI" sz="1100" u="sng">
              <a:latin typeface="Bahnschrift Light SemiCondensed" panose="020B0502040204020203" pitchFamily="34" charset="0"/>
            </a:rPr>
            <a:t>Tuloslaskelma</a:t>
          </a:r>
        </a:p>
        <a:p>
          <a:r>
            <a:rPr lang="fi-FI" sz="1100">
              <a:latin typeface="Bahnschrift Light SemiCondensed" panose="020B0502040204020203" pitchFamily="34" charset="0"/>
            </a:rPr>
            <a:t>Tuloslaskelma kuvastaa toimintojen kannattavuutta,</a:t>
          </a:r>
          <a:r>
            <a:rPr lang="fi-FI" sz="1100" baseline="0">
              <a:latin typeface="Bahnschrift Light SemiCondensed" panose="020B0502040204020203" pitchFamily="34" charset="0"/>
            </a:rPr>
            <a:t> ja se laaditaan suoriteperusteisesti. Se ei siis suoraan kerro, miten rahat tulevat ja lähtevät yrityksen tililtä. Suoriteperusteisuus tarkoittaa sitä, että tuotot ja kulut jaksotetaan samalle tarkastelujaksolle (tilikaudelle). Esimerkiksi liikevaihto syntyy, kun hyödyke vaihtaa omistajaa, vaikka uusi omistaja (asiakas) maksaisi tuotteen vasta useamman kuukauden päästä. Toisaalta tarkastelujakson kulu syntyy vasta, kun esimerkiksi raaka-aine on otettu käyttöön luovutettua suoritetta (kuten tuotetta) varten, vaikka raaka-aine olisi ostettu useampaa kuukautta aikaisemmin. Vastaavalla tavalla investointimenot jaksotetaan kuluksi useammalle tilikaudelle sen mukaan, miten niistä saadaan tuottoa. Näin ollen tuloslaskelma kuvastaa toiminnan kannattavuutta eikä varsinaisia rahavirtoja.</a:t>
          </a:r>
        </a:p>
        <a:p>
          <a:endParaRPr lang="fi-FI" sz="1100" baseline="0">
            <a:latin typeface="Bahnschrift Light SemiCondensed" panose="020B0502040204020203" pitchFamily="34" charset="0"/>
          </a:endParaRPr>
        </a:p>
        <a:p>
          <a:r>
            <a:rPr lang="fi-FI" sz="1100" u="sng" baseline="0">
              <a:latin typeface="Bahnschrift Light SemiCondensed" panose="020B0502040204020203" pitchFamily="34" charset="0"/>
            </a:rPr>
            <a:t>Tase</a:t>
          </a:r>
        </a:p>
        <a:p>
          <a:r>
            <a:rPr lang="fi-FI" sz="1100" baseline="0">
              <a:latin typeface="Bahnschrift Light SemiCondensed" panose="020B0502040204020203" pitchFamily="34" charset="0"/>
            </a:rPr>
            <a:t>Tase kertoo yrityksen varallisuuden tietyllä hetkellä. Taseen vastaavaa-puolella ovat yrityksen varat (aktiivat) ja vastattavaa-puolella yrityksen rahoituslähteet eli miten varat on rahoitettu. Taseen vastaavaa-puoli (varat) muodostuu yrityksen pysyvistä ja vaihtuvista vastaavista. Pysyvät vastaavat ovat hankintoja (omaisuutta), joihin kohdistuu pitkän aikavälin - yli tilikauden ulottuvia - tuotto-odotuksia ja jotka ovat luonteeltaan pysyviä (eikä niitä siis ole hankittu kaupankäynti- tai luovutustarkoituksessa). Pysyviä vastaavia ovat aineettomat hyödykkeet, kuten lisenssit, tietokoneohjelmat, liikearvo eli goodwill ja kehitysmenoaktivoinnit (aineeton omaisuus), sekä aineelliset hyödykkeet, kuten maa-alueet, rakennukset sekä koneet ja laitteet.</a:t>
          </a:r>
        </a:p>
        <a:p>
          <a:endParaRPr lang="fi-FI" sz="1100" baseline="0">
            <a:latin typeface="Bahnschrift Light SemiCondensed" panose="020B0502040204020203" pitchFamily="34" charset="0"/>
          </a:endParaRPr>
        </a:p>
        <a:p>
          <a:r>
            <a:rPr lang="fi-FI" sz="1100" u="sng" baseline="0">
              <a:latin typeface="Bahnschrift Light SemiCondensed" panose="020B0502040204020203" pitchFamily="34" charset="0"/>
            </a:rPr>
            <a:t>Mitä tuloslaskelmasta ja taseesta tulisi tarkistaa</a:t>
          </a:r>
        </a:p>
        <a:p>
          <a:endParaRPr lang="fi-FI" sz="1100" baseline="0">
            <a:latin typeface="Bahnschrift Light SemiCondensed" panose="020B0502040204020203" pitchFamily="34" charset="0"/>
          </a:endParaRPr>
        </a:p>
        <a:p>
          <a:endParaRPr lang="fi-FI" sz="1100">
            <a:latin typeface="Bahnschrift Light SemiCondensed" panose="020B0502040204020203" pitchFamily="34" charset="0"/>
          </a:endParaRPr>
        </a:p>
        <a:p>
          <a:endParaRPr lang="fi-FI" sz="1100">
            <a:latin typeface="Bahnschrift Light SemiCondensed" panose="020B0502040204020203"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14</xdr:col>
      <xdr:colOff>74716</xdr:colOff>
      <xdr:row>4</xdr:row>
      <xdr:rowOff>152399</xdr:rowOff>
    </xdr:from>
    <xdr:to>
      <xdr:col>22</xdr:col>
      <xdr:colOff>523119</xdr:colOff>
      <xdr:row>9</xdr:row>
      <xdr:rowOff>19049</xdr:rowOff>
    </xdr:to>
    <xdr:pic>
      <xdr:nvPicPr>
        <xdr:cNvPr id="2" name="Kuva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2038116" y="942974"/>
          <a:ext cx="5325203" cy="771525"/>
        </a:xfrm>
        <a:prstGeom prst="rect">
          <a:avLst/>
        </a:prstGeom>
      </xdr:spPr>
    </xdr:pic>
    <xdr:clientData/>
  </xdr:twoCellAnchor>
  <xdr:twoCellAnchor editAs="oneCell">
    <xdr:from>
      <xdr:col>14</xdr:col>
      <xdr:colOff>85724</xdr:colOff>
      <xdr:row>9</xdr:row>
      <xdr:rowOff>152401</xdr:rowOff>
    </xdr:from>
    <xdr:to>
      <xdr:col>23</xdr:col>
      <xdr:colOff>608743</xdr:colOff>
      <xdr:row>15</xdr:row>
      <xdr:rowOff>1349</xdr:rowOff>
    </xdr:to>
    <xdr:pic>
      <xdr:nvPicPr>
        <xdr:cNvPr id="3" name="Kuva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12049124" y="1847851"/>
          <a:ext cx="6009419" cy="9347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
  <sheetViews>
    <sheetView topLeftCell="A13" workbookViewId="0" xr3:uid="{AEA406A1-0E4B-5B11-9CD5-51D6E497D94C}">
      <selection activeCell="B2" sqref="B2"/>
    </sheetView>
  </sheetViews>
  <sheetFormatPr defaultRowHeight="14.25"/>
  <cols>
    <col min="1" max="1" width="2.7109375" style="3" customWidth="1"/>
    <col min="2" max="16384" width="9.140625" style="3"/>
  </cols>
  <sheetData>
    <row r="2" spans="2:2">
      <c r="B2" s="3" t="s">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50"/>
  <sheetViews>
    <sheetView workbookViewId="0" xr3:uid="{958C4451-9541-5A59-BF78-D2F731DF1C81}">
      <selection activeCell="C2" sqref="C2"/>
    </sheetView>
  </sheetViews>
  <sheetFormatPr defaultRowHeight="14.25"/>
  <cols>
    <col min="1" max="1" width="9.140625" style="3"/>
    <col min="2" max="2" width="57.28515625" style="3" bestFit="1" customWidth="1"/>
    <col min="3" max="3" width="90.7109375" style="3" customWidth="1"/>
    <col min="4" max="16384" width="9.140625" style="3"/>
  </cols>
  <sheetData>
    <row r="2" spans="2:3">
      <c r="B2" s="3" t="s">
        <v>1</v>
      </c>
    </row>
    <row r="4" spans="2:3">
      <c r="B4" s="6" t="s">
        <v>2</v>
      </c>
      <c r="C4" s="6" t="s">
        <v>3</v>
      </c>
    </row>
    <row r="5" spans="2:3">
      <c r="B5" s="4" t="s">
        <v>4</v>
      </c>
      <c r="C5" s="5" t="s">
        <v>5</v>
      </c>
    </row>
    <row r="6" spans="2:3" ht="28.5" customHeight="1">
      <c r="B6" s="61" t="s">
        <v>6</v>
      </c>
      <c r="C6" s="63" t="s">
        <v>7</v>
      </c>
    </row>
    <row r="7" spans="2:3" ht="28.5" customHeight="1">
      <c r="B7" s="62"/>
      <c r="C7" s="64"/>
    </row>
    <row r="8" spans="2:3">
      <c r="B8" s="5" t="s">
        <v>8</v>
      </c>
      <c r="C8" s="5"/>
    </row>
    <row r="9" spans="2:3" ht="57">
      <c r="B9" s="31" t="s">
        <v>9</v>
      </c>
      <c r="C9" s="30" t="s">
        <v>10</v>
      </c>
    </row>
    <row r="10" spans="2:3">
      <c r="B10" s="7" t="s">
        <v>11</v>
      </c>
      <c r="C10" s="71" t="s">
        <v>12</v>
      </c>
    </row>
    <row r="11" spans="2:3" ht="16.5">
      <c r="B11" s="8" t="s">
        <v>13</v>
      </c>
      <c r="C11" s="71"/>
    </row>
    <row r="12" spans="2:3">
      <c r="B12" s="9" t="s">
        <v>14</v>
      </c>
      <c r="C12" s="71"/>
    </row>
    <row r="13" spans="2:3">
      <c r="B13" s="9" t="s">
        <v>15</v>
      </c>
      <c r="C13" s="71"/>
    </row>
    <row r="14" spans="2:3" ht="16.5">
      <c r="B14" s="8" t="s">
        <v>16</v>
      </c>
      <c r="C14" s="71"/>
    </row>
    <row r="15" spans="2:3">
      <c r="B15" s="9"/>
      <c r="C15" s="71"/>
    </row>
    <row r="16" spans="2:3">
      <c r="B16" s="9"/>
      <c r="C16" s="71"/>
    </row>
    <row r="17" spans="2:3">
      <c r="B17" s="7" t="s">
        <v>17</v>
      </c>
      <c r="C17" s="65" t="s">
        <v>18</v>
      </c>
    </row>
    <row r="18" spans="2:3" ht="16.5">
      <c r="B18" s="8" t="s">
        <v>19</v>
      </c>
      <c r="C18" s="66"/>
    </row>
    <row r="19" spans="2:3" ht="16.5">
      <c r="B19" s="8" t="s">
        <v>20</v>
      </c>
      <c r="C19" s="66"/>
    </row>
    <row r="20" spans="2:3" ht="16.5">
      <c r="B20" s="8" t="s">
        <v>21</v>
      </c>
      <c r="C20" s="66"/>
    </row>
    <row r="21" spans="2:3" ht="16.5">
      <c r="B21" s="8"/>
      <c r="C21" s="66"/>
    </row>
    <row r="22" spans="2:3" ht="16.5">
      <c r="B22" s="8"/>
      <c r="C22" s="66"/>
    </row>
    <row r="23" spans="2:3" ht="16.5">
      <c r="B23" s="8"/>
      <c r="C23" s="66"/>
    </row>
    <row r="24" spans="2:3" ht="16.5">
      <c r="B24" s="8"/>
      <c r="C24" s="67"/>
    </row>
    <row r="25" spans="2:3">
      <c r="B25" s="7" t="s">
        <v>22</v>
      </c>
      <c r="C25" s="65" t="s">
        <v>23</v>
      </c>
    </row>
    <row r="26" spans="2:3" ht="16.5">
      <c r="B26" s="8" t="s">
        <v>24</v>
      </c>
      <c r="C26" s="66"/>
    </row>
    <row r="27" spans="2:3" s="14" customFormat="1" ht="16.5">
      <c r="B27" s="8" t="s">
        <v>25</v>
      </c>
      <c r="C27" s="66"/>
    </row>
    <row r="28" spans="2:3" s="14" customFormat="1" ht="16.5">
      <c r="B28" s="8" t="s">
        <v>26</v>
      </c>
      <c r="C28" s="66"/>
    </row>
    <row r="29" spans="2:3" s="14" customFormat="1" ht="16.5">
      <c r="B29" s="8"/>
      <c r="C29" s="66"/>
    </row>
    <row r="30" spans="2:3" s="14" customFormat="1" ht="16.5">
      <c r="B30" s="8"/>
      <c r="C30" s="66"/>
    </row>
    <row r="31" spans="2:3" s="14" customFormat="1" ht="16.5">
      <c r="B31" s="8"/>
      <c r="C31" s="66"/>
    </row>
    <row r="32" spans="2:3" ht="16.5">
      <c r="B32" s="10"/>
      <c r="C32" s="67"/>
    </row>
    <row r="33" spans="2:3" ht="42.75" customHeight="1">
      <c r="B33" s="68" t="s">
        <v>27</v>
      </c>
      <c r="C33" s="63" t="s">
        <v>28</v>
      </c>
    </row>
    <row r="34" spans="2:3">
      <c r="B34" s="69"/>
      <c r="C34" s="70"/>
    </row>
    <row r="35" spans="2:3" ht="14.25" customHeight="1">
      <c r="B35" s="16" t="s">
        <v>29</v>
      </c>
      <c r="C35" s="5"/>
    </row>
    <row r="36" spans="2:3">
      <c r="B36" s="18" t="s">
        <v>30</v>
      </c>
      <c r="C36" s="63" t="s">
        <v>31</v>
      </c>
    </row>
    <row r="37" spans="2:3">
      <c r="B37" s="18" t="s">
        <v>32</v>
      </c>
      <c r="C37" s="64"/>
    </row>
    <row r="38" spans="2:3">
      <c r="B38" s="19"/>
      <c r="C38" s="70"/>
    </row>
    <row r="39" spans="2:3">
      <c r="B39" s="32" t="s">
        <v>33</v>
      </c>
      <c r="C39" s="5"/>
    </row>
    <row r="40" spans="2:3">
      <c r="B40" s="11" t="s">
        <v>34</v>
      </c>
      <c r="C40" s="65" t="s">
        <v>35</v>
      </c>
    </row>
    <row r="41" spans="2:3" ht="16.5">
      <c r="B41" s="8" t="s">
        <v>36</v>
      </c>
      <c r="C41" s="66"/>
    </row>
    <row r="42" spans="2:3" ht="16.5">
      <c r="B42" s="8" t="s">
        <v>37</v>
      </c>
      <c r="C42" s="66"/>
    </row>
    <row r="43" spans="2:3" ht="16.5">
      <c r="B43" s="8" t="s">
        <v>38</v>
      </c>
      <c r="C43" s="66"/>
    </row>
    <row r="44" spans="2:3" ht="16.5">
      <c r="B44" s="8"/>
      <c r="C44" s="66"/>
    </row>
    <row r="45" spans="2:3" ht="16.5">
      <c r="B45" s="8"/>
      <c r="C45" s="66"/>
    </row>
    <row r="46" spans="2:3" ht="16.5">
      <c r="B46" s="10"/>
      <c r="C46" s="67"/>
    </row>
    <row r="47" spans="2:3">
      <c r="B47" s="22" t="s">
        <v>39</v>
      </c>
      <c r="C47" s="63" t="s">
        <v>40</v>
      </c>
    </row>
    <row r="48" spans="2:3">
      <c r="B48" s="22" t="s">
        <v>41</v>
      </c>
      <c r="C48" s="64"/>
    </row>
    <row r="49" spans="2:3">
      <c r="B49" s="21"/>
      <c r="C49" s="70"/>
    </row>
    <row r="50" spans="2:3">
      <c r="B50" s="20" t="s">
        <v>42</v>
      </c>
      <c r="C50" s="5"/>
    </row>
  </sheetData>
  <mergeCells count="10">
    <mergeCell ref="C40:C46"/>
    <mergeCell ref="C47:C49"/>
    <mergeCell ref="C10:C16"/>
    <mergeCell ref="C36:C38"/>
    <mergeCell ref="C17:C24"/>
    <mergeCell ref="B6:B7"/>
    <mergeCell ref="C6:C7"/>
    <mergeCell ref="C25:C32"/>
    <mergeCell ref="B33:B34"/>
    <mergeCell ref="C33:C3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31"/>
  <sheetViews>
    <sheetView workbookViewId="0" xr3:uid="{842E5F09-E766-5B8D-85AF-A39847EA96FD}">
      <selection activeCell="C2" sqref="C2"/>
    </sheetView>
  </sheetViews>
  <sheetFormatPr defaultRowHeight="14.25"/>
  <cols>
    <col min="1" max="1" width="9.140625" style="3"/>
    <col min="2" max="3" width="60.7109375" style="3" customWidth="1"/>
    <col min="4" max="16384" width="9.140625" style="3"/>
  </cols>
  <sheetData>
    <row r="2" spans="2:3">
      <c r="B2" s="3" t="s">
        <v>43</v>
      </c>
    </row>
    <row r="4" spans="2:3">
      <c r="B4" s="6" t="s">
        <v>44</v>
      </c>
      <c r="C4" s="6" t="s">
        <v>45</v>
      </c>
    </row>
    <row r="5" spans="2:3">
      <c r="B5" s="5" t="s">
        <v>46</v>
      </c>
      <c r="C5" s="5" t="s">
        <v>47</v>
      </c>
    </row>
    <row r="6" spans="2:3">
      <c r="B6" s="11" t="s">
        <v>48</v>
      </c>
      <c r="C6" s="11" t="s">
        <v>49</v>
      </c>
    </row>
    <row r="7" spans="2:3">
      <c r="B7" s="23" t="s">
        <v>50</v>
      </c>
      <c r="C7" s="11" t="s">
        <v>51</v>
      </c>
    </row>
    <row r="8" spans="2:3" ht="16.5">
      <c r="B8" s="24" t="s">
        <v>52</v>
      </c>
      <c r="C8" s="12"/>
    </row>
    <row r="9" spans="2:3" ht="16.5">
      <c r="B9" s="24" t="s">
        <v>53</v>
      </c>
      <c r="C9" s="12"/>
    </row>
    <row r="10" spans="2:3" ht="16.5">
      <c r="B10" s="26" t="s">
        <v>54</v>
      </c>
      <c r="C10" s="13"/>
    </row>
    <row r="11" spans="2:3">
      <c r="B11" s="5" t="s">
        <v>55</v>
      </c>
      <c r="C11" s="5" t="s">
        <v>56</v>
      </c>
    </row>
    <row r="12" spans="2:3" s="14" customFormat="1">
      <c r="B12" s="5" t="s">
        <v>57</v>
      </c>
      <c r="C12" s="5" t="s">
        <v>58</v>
      </c>
    </row>
    <row r="13" spans="2:3" s="14" customFormat="1">
      <c r="B13" s="7" t="s">
        <v>59</v>
      </c>
      <c r="C13" s="11" t="s">
        <v>60</v>
      </c>
    </row>
    <row r="14" spans="2:3" s="14" customFormat="1" ht="16.5">
      <c r="B14" s="8" t="s">
        <v>13</v>
      </c>
      <c r="C14" s="12"/>
    </row>
    <row r="15" spans="2:3" s="14" customFormat="1" ht="16.5">
      <c r="B15" s="8" t="s">
        <v>61</v>
      </c>
      <c r="C15" s="12"/>
    </row>
    <row r="16" spans="2:3" s="14" customFormat="1" ht="16.5">
      <c r="B16" s="10" t="s">
        <v>62</v>
      </c>
      <c r="C16" s="13"/>
    </row>
    <row r="17" spans="2:3" s="14" customFormat="1">
      <c r="B17" s="7" t="s">
        <v>63</v>
      </c>
      <c r="C17" s="17" t="s">
        <v>64</v>
      </c>
    </row>
    <row r="18" spans="2:3" s="14" customFormat="1" ht="16.5">
      <c r="B18" s="8" t="s">
        <v>65</v>
      </c>
      <c r="C18" s="25"/>
    </row>
    <row r="19" spans="2:3" s="14" customFormat="1" ht="16.5">
      <c r="B19" s="8" t="s">
        <v>66</v>
      </c>
      <c r="C19" s="25"/>
    </row>
    <row r="20" spans="2:3" s="14" customFormat="1">
      <c r="B20" s="5" t="s">
        <v>67</v>
      </c>
      <c r="C20" s="5" t="s">
        <v>68</v>
      </c>
    </row>
    <row r="21" spans="2:3" s="14" customFormat="1">
      <c r="B21" s="11" t="s">
        <v>69</v>
      </c>
      <c r="C21" s="11" t="s">
        <v>70</v>
      </c>
    </row>
    <row r="22" spans="2:3" s="14" customFormat="1">
      <c r="B22" s="11"/>
      <c r="C22" s="11" t="s">
        <v>71</v>
      </c>
    </row>
    <row r="23" spans="2:3" s="14" customFormat="1" ht="16.5">
      <c r="B23" s="12"/>
      <c r="C23" s="8" t="s">
        <v>72</v>
      </c>
    </row>
    <row r="24" spans="2:3" s="14" customFormat="1" ht="16.5">
      <c r="B24" s="12"/>
      <c r="C24" s="8" t="s">
        <v>73</v>
      </c>
    </row>
    <row r="25" spans="2:3" s="14" customFormat="1" ht="16.5">
      <c r="B25" s="12"/>
      <c r="C25" s="8" t="s">
        <v>74</v>
      </c>
    </row>
    <row r="26" spans="2:3" s="14" customFormat="1" ht="16.5">
      <c r="B26" s="12"/>
      <c r="C26" s="8" t="s">
        <v>75</v>
      </c>
    </row>
    <row r="27" spans="2:3" s="14" customFormat="1" ht="16.5">
      <c r="B27" s="13"/>
      <c r="C27" s="29" t="s">
        <v>76</v>
      </c>
    </row>
    <row r="28" spans="2:3" s="14" customFormat="1">
      <c r="B28" s="5" t="s">
        <v>77</v>
      </c>
      <c r="C28" s="5" t="s">
        <v>78</v>
      </c>
    </row>
    <row r="29" spans="2:3" s="14" customFormat="1"/>
    <row r="30" spans="2:3" s="14" customFormat="1"/>
    <row r="31" spans="2:3" s="14" customFormat="1"/>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27"/>
  <sheetViews>
    <sheetView workbookViewId="0" xr3:uid="{51F8DEE0-4D01-5F28-A812-FC0BD7CAC4A5}"/>
  </sheetViews>
  <sheetFormatPr defaultRowHeight="14.25" outlineLevelRow="1"/>
  <cols>
    <col min="1" max="1" width="9.140625" style="3"/>
    <col min="2" max="2" width="50.7109375" style="3" customWidth="1"/>
    <col min="3" max="5" width="12.7109375" style="3" customWidth="1"/>
    <col min="6" max="16384" width="9.140625" style="3"/>
  </cols>
  <sheetData>
    <row r="2" spans="2:8" hidden="1" outlineLevel="1">
      <c r="B2" s="3" t="s">
        <v>79</v>
      </c>
      <c r="C2" s="3" t="s">
        <v>80</v>
      </c>
      <c r="D2" s="33">
        <v>1.1000000000000001</v>
      </c>
    </row>
    <row r="3" spans="2:8" hidden="1" outlineLevel="1">
      <c r="B3" s="3" t="s">
        <v>79</v>
      </c>
      <c r="C3" s="34" t="s">
        <v>81</v>
      </c>
      <c r="D3" s="33">
        <v>1.1000000000000001</v>
      </c>
    </row>
    <row r="4" spans="2:8" hidden="1" outlineLevel="1">
      <c r="B4" s="3" t="s">
        <v>79</v>
      </c>
      <c r="C4" s="34" t="s">
        <v>82</v>
      </c>
      <c r="D4" s="33">
        <v>1.1000000000000001</v>
      </c>
    </row>
    <row r="5" spans="2:8" collapsed="1"/>
    <row r="6" spans="2:8" ht="25.5">
      <c r="B6" s="35" t="s">
        <v>83</v>
      </c>
    </row>
    <row r="8" spans="2:8" ht="18">
      <c r="B8" s="36" t="s">
        <v>84</v>
      </c>
      <c r="C8" s="37" t="s">
        <v>80</v>
      </c>
      <c r="D8" s="37" t="s">
        <v>81</v>
      </c>
      <c r="E8" s="37" t="s">
        <v>82</v>
      </c>
      <c r="H8" s="3" t="s">
        <v>85</v>
      </c>
    </row>
    <row r="9" spans="2:8" ht="18">
      <c r="B9" s="36"/>
      <c r="C9" s="37"/>
      <c r="D9" s="37"/>
      <c r="E9" s="37"/>
      <c r="H9" s="3" t="s">
        <v>86</v>
      </c>
    </row>
    <row r="10" spans="2:8">
      <c r="B10" s="2" t="s">
        <v>87</v>
      </c>
      <c r="C10" s="60"/>
      <c r="D10" s="60"/>
      <c r="E10" s="60"/>
    </row>
    <row r="11" spans="2:8">
      <c r="B11" s="3" t="s">
        <v>88</v>
      </c>
      <c r="C11" s="38">
        <f>85480*$D$2</f>
        <v>94028.000000000015</v>
      </c>
      <c r="D11" s="38">
        <f>75985*$D$3</f>
        <v>83583.5</v>
      </c>
      <c r="E11" s="38">
        <f>73313*$D$4</f>
        <v>80644.3</v>
      </c>
    </row>
    <row r="12" spans="2:8">
      <c r="B12" s="3" t="s">
        <v>89</v>
      </c>
      <c r="C12" s="38">
        <f>3366*$D$2</f>
        <v>3702.6000000000004</v>
      </c>
      <c r="D12" s="38">
        <f>4008*$D$3</f>
        <v>4408.8</v>
      </c>
      <c r="E12" s="38">
        <f>8169*$D$4</f>
        <v>8985.9000000000015</v>
      </c>
    </row>
    <row r="13" spans="2:8">
      <c r="B13" s="3" t="s">
        <v>90</v>
      </c>
      <c r="C13" s="38">
        <f>1168*$D$2</f>
        <v>1284.8000000000002</v>
      </c>
      <c r="D13" s="38">
        <f>99*$D$3</f>
        <v>108.9</v>
      </c>
      <c r="E13" s="38">
        <f>29*$D$4</f>
        <v>31.900000000000002</v>
      </c>
    </row>
    <row r="14" spans="2:8">
      <c r="B14" s="3" t="s">
        <v>91</v>
      </c>
      <c r="C14" s="38">
        <f>2923*$D$2</f>
        <v>3215.3</v>
      </c>
      <c r="D14" s="38">
        <f>4230*$D$3</f>
        <v>4653</v>
      </c>
      <c r="E14" s="38">
        <f>8223*$D$4</f>
        <v>9045.3000000000011</v>
      </c>
    </row>
    <row r="15" spans="2:8">
      <c r="B15" s="3" t="s">
        <v>92</v>
      </c>
      <c r="C15" s="38">
        <f>1957*$D$2</f>
        <v>2152.7000000000003</v>
      </c>
      <c r="D15" s="38">
        <f>4063*$D$3</f>
        <v>4469.3</v>
      </c>
      <c r="E15" s="38">
        <f>6072*$D$4</f>
        <v>6679.2000000000007</v>
      </c>
    </row>
    <row r="16" spans="2:8">
      <c r="C16" s="38"/>
      <c r="D16" s="38"/>
      <c r="E16" s="38"/>
    </row>
    <row r="17" spans="2:5">
      <c r="B17" s="2" t="s">
        <v>93</v>
      </c>
      <c r="C17" s="38"/>
      <c r="D17" s="38"/>
      <c r="E17" s="38"/>
    </row>
    <row r="18" spans="2:5">
      <c r="B18" s="3" t="s">
        <v>94</v>
      </c>
      <c r="C18" s="38">
        <f>917*$D$2</f>
        <v>1008.7</v>
      </c>
      <c r="D18" s="38">
        <f>534*$D$3</f>
        <v>587.40000000000009</v>
      </c>
      <c r="E18" s="39"/>
    </row>
    <row r="19" spans="2:5">
      <c r="B19" s="3" t="s">
        <v>95</v>
      </c>
      <c r="C19" s="38">
        <f>16080*$D$2</f>
        <v>17688</v>
      </c>
      <c r="D19" s="38">
        <f>19265*$D$3</f>
        <v>21191.5</v>
      </c>
      <c r="E19" s="39"/>
    </row>
    <row r="20" spans="2:5">
      <c r="B20" s="3" t="s">
        <v>96</v>
      </c>
      <c r="C20" s="38">
        <f>20987*$D$2</f>
        <v>23085.7</v>
      </c>
      <c r="D20" s="38">
        <f>14382*$D$3</f>
        <v>15820.2</v>
      </c>
      <c r="E20" s="39"/>
    </row>
    <row r="21" spans="2:5">
      <c r="B21" s="3" t="s">
        <v>97</v>
      </c>
      <c r="C21" s="38">
        <f>10874*$D$2</f>
        <v>11961.400000000001</v>
      </c>
      <c r="D21" s="38">
        <f>5674*$D$3</f>
        <v>6241.4000000000005</v>
      </c>
      <c r="E21" s="39"/>
    </row>
    <row r="22" spans="2:5">
      <c r="B22" s="3" t="s">
        <v>98</v>
      </c>
      <c r="C22" s="38">
        <f>19201*$D$2</f>
        <v>21121.100000000002</v>
      </c>
      <c r="D22" s="38">
        <f>22606*$D$3</f>
        <v>24866.600000000002</v>
      </c>
      <c r="E22" s="39"/>
    </row>
    <row r="23" spans="2:5">
      <c r="B23" s="3" t="s">
        <v>99</v>
      </c>
      <c r="C23" s="38">
        <f>28092*$D$2</f>
        <v>30901.200000000001</v>
      </c>
      <c r="D23" s="38">
        <f>30054*$D$3</f>
        <v>33059.4</v>
      </c>
      <c r="E23" s="38">
        <f>34287*$D$4</f>
        <v>37715.700000000004</v>
      </c>
    </row>
    <row r="24" spans="2:5">
      <c r="B24" s="3" t="s">
        <v>100</v>
      </c>
      <c r="C24" s="38">
        <f>4730*$D$2</f>
        <v>5203</v>
      </c>
      <c r="D24" s="38">
        <f>4225*$D$3</f>
        <v>4647.5</v>
      </c>
      <c r="E24" s="39"/>
    </row>
    <row r="25" spans="2:5">
      <c r="B25" s="3" t="s">
        <v>101</v>
      </c>
      <c r="C25" s="38">
        <f>10218*$D$2</f>
        <v>11239.800000000001</v>
      </c>
      <c r="D25" s="38">
        <f>9493*$D$3</f>
        <v>10442.300000000001</v>
      </c>
      <c r="E25" s="38">
        <f>8613*$D$4</f>
        <v>9474.3000000000011</v>
      </c>
    </row>
    <row r="26" spans="2:5">
      <c r="B26" s="3" t="s">
        <v>102</v>
      </c>
      <c r="C26" s="38">
        <f>9317*$D$2</f>
        <v>10248.700000000001</v>
      </c>
      <c r="D26" s="38">
        <f>4944*$D$3</f>
        <v>5438.4000000000005</v>
      </c>
      <c r="E26" s="38">
        <f>8613*$D$4</f>
        <v>9474.3000000000011</v>
      </c>
    </row>
    <row r="27" spans="2:5">
      <c r="B27" s="3" t="s">
        <v>103</v>
      </c>
      <c r="C27" s="38">
        <f>49929*$D$2</f>
        <v>54921.9</v>
      </c>
      <c r="D27" s="38">
        <f>46475*$D$3</f>
        <v>51122.500000000007</v>
      </c>
      <c r="E27" s="38">
        <f>43551*$D$4</f>
        <v>47906.100000000006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N22"/>
  <sheetViews>
    <sheetView workbookViewId="0" xr3:uid="{F9CF3CF3-643B-5BE6-8B46-32C596A47465}"/>
  </sheetViews>
  <sheetFormatPr defaultRowHeight="14.25"/>
  <cols>
    <col min="1" max="2" width="2.7109375" style="3" customWidth="1"/>
    <col min="3" max="3" width="50.7109375" style="3" customWidth="1"/>
    <col min="4" max="4" width="5.7109375" style="41" customWidth="1"/>
    <col min="5" max="5" width="50.7109375" style="42" customWidth="1"/>
    <col min="6" max="6" width="2.7109375" style="3" customWidth="1"/>
    <col min="7" max="7" width="9.140625" style="3"/>
    <col min="8" max="8" width="2.7109375" style="3" customWidth="1"/>
    <col min="9" max="10" width="11.7109375" style="3" customWidth="1"/>
    <col min="11" max="12" width="2.7109375" style="3" customWidth="1"/>
    <col min="13" max="14" width="11.7109375" style="3" customWidth="1"/>
    <col min="15" max="16384" width="9.140625" style="3"/>
  </cols>
  <sheetData>
    <row r="2" spans="2:14" ht="19.5">
      <c r="B2" s="40" t="s">
        <v>104</v>
      </c>
      <c r="I2" s="72" t="s">
        <v>80</v>
      </c>
      <c r="J2" s="72"/>
      <c r="K2" s="2"/>
      <c r="L2" s="2"/>
      <c r="M2" s="72" t="s">
        <v>81</v>
      </c>
      <c r="N2" s="72"/>
    </row>
    <row r="4" spans="2:14">
      <c r="B4" s="43"/>
      <c r="C4" s="73" t="s">
        <v>105</v>
      </c>
      <c r="D4" s="74" t="s">
        <v>106</v>
      </c>
      <c r="E4" s="44" t="s">
        <v>107</v>
      </c>
      <c r="F4" s="45"/>
      <c r="H4" s="1"/>
      <c r="I4" s="46">
        <f>Tilinpäätös!C12</f>
        <v>3702.6000000000004</v>
      </c>
      <c r="J4" s="75">
        <f>I4/I5</f>
        <v>3.9377632194665418E-2</v>
      </c>
      <c r="L4" s="1"/>
      <c r="M4" s="46">
        <f>Tilinpäätös!D12</f>
        <v>4408.8</v>
      </c>
      <c r="N4" s="75">
        <f>M4/M5</f>
        <v>5.2747252747252747E-2</v>
      </c>
    </row>
    <row r="5" spans="2:14">
      <c r="B5" s="43"/>
      <c r="C5" s="73"/>
      <c r="D5" s="74"/>
      <c r="E5" s="47" t="s">
        <v>108</v>
      </c>
      <c r="F5" s="48"/>
      <c r="H5" s="1"/>
      <c r="I5" s="49">
        <f>Tilinpäätös!C11</f>
        <v>94028.000000000015</v>
      </c>
      <c r="J5" s="75"/>
      <c r="L5" s="1"/>
      <c r="M5" s="49">
        <f>Tilinpäätös!D11</f>
        <v>83583.5</v>
      </c>
      <c r="N5" s="75"/>
    </row>
    <row r="7" spans="2:14">
      <c r="B7" s="43"/>
      <c r="C7" s="73" t="s">
        <v>109</v>
      </c>
      <c r="D7" s="74" t="s">
        <v>106</v>
      </c>
      <c r="E7" s="44" t="s">
        <v>110</v>
      </c>
      <c r="F7" s="45"/>
      <c r="H7" s="1"/>
      <c r="I7" s="46">
        <f>Tilinpäätös!C15</f>
        <v>2152.7000000000003</v>
      </c>
      <c r="J7" s="75">
        <f>I7/I8</f>
        <v>6.7313314759398751E-2</v>
      </c>
      <c r="L7" s="1"/>
      <c r="M7" s="46">
        <f>Tilinpäätös!D15</f>
        <v>4469.3</v>
      </c>
      <c r="N7" s="75">
        <f>M7/M8</f>
        <v>0.12629583003061812</v>
      </c>
    </row>
    <row r="8" spans="2:14">
      <c r="B8" s="43"/>
      <c r="C8" s="73"/>
      <c r="D8" s="74"/>
      <c r="E8" s="47" t="s">
        <v>111</v>
      </c>
      <c r="F8" s="48"/>
      <c r="H8" s="1"/>
      <c r="I8" s="49">
        <f>(Tilinpäätös!C23+Tilinpäätös!D23)/2</f>
        <v>31980.300000000003</v>
      </c>
      <c r="J8" s="75"/>
      <c r="L8" s="1"/>
      <c r="M8" s="49">
        <f>(Tilinpäätös!D23+Tilinpäätös!E23)/2</f>
        <v>35387.550000000003</v>
      </c>
      <c r="N8" s="75"/>
    </row>
    <row r="10" spans="2:14">
      <c r="B10" s="43"/>
      <c r="C10" s="73" t="s">
        <v>112</v>
      </c>
      <c r="D10" s="74" t="s">
        <v>106</v>
      </c>
      <c r="E10" s="44" t="s">
        <v>107</v>
      </c>
      <c r="F10" s="45"/>
      <c r="H10" s="1"/>
      <c r="I10" s="46">
        <f>Tilinpäätös!C12</f>
        <v>3702.6000000000004</v>
      </c>
      <c r="J10" s="75">
        <f>I10/I11</f>
        <v>6.9831127339114563E-2</v>
      </c>
      <c r="L10" s="1"/>
      <c r="M10" s="46">
        <f>Tilinpäätös!D12</f>
        <v>4408.8</v>
      </c>
      <c r="N10" s="75">
        <f>M10/M11</f>
        <v>8.904094372736765E-2</v>
      </c>
    </row>
    <row r="11" spans="2:14">
      <c r="B11" s="43"/>
      <c r="C11" s="73"/>
      <c r="D11" s="74"/>
      <c r="E11" s="47" t="s">
        <v>113</v>
      </c>
      <c r="F11" s="48"/>
      <c r="H11" s="1"/>
      <c r="I11" s="49">
        <f>(Tilinpäätös!C27+Tilinpäätös!D27)/2</f>
        <v>53022.200000000004</v>
      </c>
      <c r="J11" s="75"/>
      <c r="L11" s="1"/>
      <c r="M11" s="49">
        <f>(Tilinpäätös!D27+Tilinpäätös!E27)/2</f>
        <v>49514.3</v>
      </c>
      <c r="N11" s="75"/>
    </row>
    <row r="13" spans="2:14">
      <c r="B13" s="43"/>
      <c r="C13" s="73" t="s">
        <v>114</v>
      </c>
      <c r="D13" s="74" t="s">
        <v>106</v>
      </c>
      <c r="E13" s="44" t="s">
        <v>115</v>
      </c>
      <c r="F13" s="45"/>
      <c r="H13" s="1"/>
      <c r="I13" s="46">
        <f>(Tilinpäätös!C14+Tilinpäätös!C13)</f>
        <v>4500.1000000000004</v>
      </c>
      <c r="J13" s="75">
        <f>I13/I14</f>
        <v>0.10668509511950244</v>
      </c>
      <c r="L13" s="1"/>
      <c r="M13" s="46">
        <f>(Tilinpäätös!D14+Tilinpäätös!D13)</f>
        <v>4761.8999999999996</v>
      </c>
      <c r="N13" s="75">
        <f>M13/M14</f>
        <v>0.12038375973303669</v>
      </c>
    </row>
    <row r="14" spans="2:14">
      <c r="B14" s="43"/>
      <c r="C14" s="73"/>
      <c r="D14" s="74"/>
      <c r="E14" s="47" t="s">
        <v>116</v>
      </c>
      <c r="F14" s="48"/>
      <c r="H14" s="1"/>
      <c r="I14" s="49">
        <f>((Tilinpäätös!C27-Tilinpäätös!C25)+(Tilinpäätös!D27-Tilinpäätös!D25))/2</f>
        <v>42181.15</v>
      </c>
      <c r="J14" s="75"/>
      <c r="L14" s="1"/>
      <c r="M14" s="49">
        <f>((Tilinpäätös!D27-Tilinpäätös!D25)+(Tilinpäätös!E27-Tilinpäätös!E25))/2</f>
        <v>39556</v>
      </c>
      <c r="N14" s="75"/>
    </row>
    <row r="18" spans="4:4" s="3" customFormat="1">
      <c r="D18" s="41"/>
    </row>
    <row r="19" spans="4:4" s="3" customFormat="1">
      <c r="D19" s="41"/>
    </row>
    <row r="20" spans="4:4" s="3" customFormat="1">
      <c r="D20" s="41"/>
    </row>
    <row r="21" spans="4:4" s="3" customFormat="1">
      <c r="D21" s="41"/>
    </row>
    <row r="22" spans="4:4" s="3" customFormat="1">
      <c r="D22" s="41"/>
    </row>
  </sheetData>
  <mergeCells count="18">
    <mergeCell ref="C13:C14"/>
    <mergeCell ref="D13:D14"/>
    <mergeCell ref="J13:J14"/>
    <mergeCell ref="N13:N14"/>
    <mergeCell ref="C7:C8"/>
    <mergeCell ref="D7:D8"/>
    <mergeCell ref="J7:J8"/>
    <mergeCell ref="N7:N8"/>
    <mergeCell ref="C10:C11"/>
    <mergeCell ref="D10:D11"/>
    <mergeCell ref="J10:J11"/>
    <mergeCell ref="N10:N11"/>
    <mergeCell ref="I2:J2"/>
    <mergeCell ref="M2:N2"/>
    <mergeCell ref="C4:C5"/>
    <mergeCell ref="D4:D5"/>
    <mergeCell ref="J4:J5"/>
    <mergeCell ref="N4:N5"/>
  </mergeCells>
  <pageMargins left="0.7" right="0.7" top="0.75" bottom="0.75" header="0.3" footer="0.3"/>
  <pageSetup paperSize="9"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N20"/>
  <sheetViews>
    <sheetView workbookViewId="0" xr3:uid="{78B4E459-6924-5F8B-B7BA-2DD04133E49E}"/>
  </sheetViews>
  <sheetFormatPr defaultRowHeight="14.25"/>
  <cols>
    <col min="1" max="2" width="2.7109375" style="3" customWidth="1"/>
    <col min="3" max="3" width="50.7109375" style="3" customWidth="1"/>
    <col min="4" max="4" width="5.7109375" style="41" customWidth="1"/>
    <col min="5" max="5" width="50.7109375" style="42" customWidth="1"/>
    <col min="6" max="6" width="2.7109375" style="3" customWidth="1"/>
    <col min="7" max="7" width="9.140625" style="3"/>
    <col min="8" max="8" width="2.7109375" style="3" customWidth="1"/>
    <col min="9" max="10" width="11.7109375" style="3" customWidth="1"/>
    <col min="11" max="12" width="2.7109375" style="3" customWidth="1"/>
    <col min="13" max="14" width="11.7109375" style="3" customWidth="1"/>
    <col min="15" max="16384" width="9.140625" style="3"/>
  </cols>
  <sheetData>
    <row r="2" spans="2:14" ht="19.5">
      <c r="B2" s="40" t="s">
        <v>117</v>
      </c>
      <c r="I2" s="72" t="s">
        <v>80</v>
      </c>
      <c r="J2" s="72"/>
      <c r="K2" s="2"/>
      <c r="L2" s="2"/>
      <c r="M2" s="72" t="s">
        <v>81</v>
      </c>
      <c r="N2" s="72"/>
    </row>
    <row r="4" spans="2:14">
      <c r="B4" s="43"/>
      <c r="C4" s="73" t="s">
        <v>118</v>
      </c>
      <c r="D4" s="74" t="s">
        <v>106</v>
      </c>
      <c r="E4" s="44" t="s">
        <v>119</v>
      </c>
      <c r="F4" s="45"/>
      <c r="H4" s="1"/>
      <c r="I4" s="46">
        <f>Tilinpäätös!C23</f>
        <v>30901.200000000001</v>
      </c>
      <c r="J4" s="75">
        <f>I4/I5</f>
        <v>0.56263894730517339</v>
      </c>
      <c r="L4" s="1"/>
      <c r="M4" s="46">
        <f>Tilinpäätös!D23</f>
        <v>33059.4</v>
      </c>
      <c r="N4" s="75">
        <f>M4/M5</f>
        <v>0.64667025282409896</v>
      </c>
    </row>
    <row r="5" spans="2:14">
      <c r="B5" s="43"/>
      <c r="C5" s="73"/>
      <c r="D5" s="74"/>
      <c r="E5" s="47" t="s">
        <v>120</v>
      </c>
      <c r="F5" s="48"/>
      <c r="H5" s="1"/>
      <c r="I5" s="49">
        <f>Tilinpäätös!C27</f>
        <v>54921.9</v>
      </c>
      <c r="J5" s="75"/>
      <c r="L5" s="1"/>
      <c r="M5" s="49">
        <f>Tilinpäätös!D27</f>
        <v>51122.500000000007</v>
      </c>
      <c r="N5" s="75"/>
    </row>
    <row r="7" spans="2:14">
      <c r="B7" s="43"/>
      <c r="C7" s="73" t="s">
        <v>121</v>
      </c>
      <c r="D7" s="74" t="s">
        <v>106</v>
      </c>
      <c r="E7" s="44" t="s">
        <v>122</v>
      </c>
      <c r="F7" s="45"/>
      <c r="H7" s="1"/>
      <c r="I7" s="46">
        <f>(Tilinpäätös!C26-Tilinpäätös!C18)</f>
        <v>9240</v>
      </c>
      <c r="J7" s="75">
        <f>I7/I8</f>
        <v>0.299017513882956</v>
      </c>
      <c r="L7" s="1"/>
      <c r="M7" s="46">
        <f>(Tilinpäätös!D26-Tilinpäätös!D18)</f>
        <v>4851</v>
      </c>
      <c r="N7" s="75">
        <f>M7/M8</f>
        <v>0.14673587542423636</v>
      </c>
    </row>
    <row r="8" spans="2:14">
      <c r="B8" s="43"/>
      <c r="C8" s="73"/>
      <c r="D8" s="74"/>
      <c r="E8" s="47" t="s">
        <v>119</v>
      </c>
      <c r="F8" s="48"/>
      <c r="H8" s="1"/>
      <c r="I8" s="49">
        <f>Tilinpäätös!C23</f>
        <v>30901.200000000001</v>
      </c>
      <c r="J8" s="75"/>
      <c r="L8" s="1"/>
      <c r="M8" s="49">
        <f>Tilinpäätös!D23</f>
        <v>33059.4</v>
      </c>
      <c r="N8" s="75"/>
    </row>
    <row r="12" spans="2:14">
      <c r="B12" s="50" t="s">
        <v>118</v>
      </c>
      <c r="C12" s="51"/>
      <c r="D12" s="52"/>
      <c r="E12" s="50" t="s">
        <v>123</v>
      </c>
      <c r="F12" s="17"/>
    </row>
    <row r="13" spans="2:14">
      <c r="B13" s="28" t="s">
        <v>124</v>
      </c>
      <c r="C13" s="51"/>
      <c r="D13" s="52"/>
      <c r="E13" s="28" t="s">
        <v>125</v>
      </c>
      <c r="F13" s="15"/>
    </row>
    <row r="14" spans="2:14">
      <c r="B14" s="28" t="s">
        <v>126</v>
      </c>
      <c r="C14" s="51"/>
      <c r="D14" s="52"/>
      <c r="E14" s="28" t="s">
        <v>127</v>
      </c>
      <c r="F14" s="15"/>
    </row>
    <row r="15" spans="2:14">
      <c r="B15" s="53" t="s">
        <v>128</v>
      </c>
      <c r="C15" s="54"/>
      <c r="D15" s="55"/>
      <c r="E15" s="53" t="s">
        <v>129</v>
      </c>
      <c r="F15" s="27"/>
    </row>
    <row r="17" spans="2:6">
      <c r="B17" s="50" t="s">
        <v>121</v>
      </c>
      <c r="C17" s="51"/>
      <c r="D17" s="52"/>
      <c r="E17" s="50" t="s">
        <v>130</v>
      </c>
      <c r="F17" s="17"/>
    </row>
    <row r="18" spans="2:6">
      <c r="B18" s="28" t="s">
        <v>131</v>
      </c>
      <c r="C18" s="51"/>
      <c r="D18" s="52"/>
      <c r="E18" s="28" t="s">
        <v>125</v>
      </c>
      <c r="F18" s="15"/>
    </row>
    <row r="19" spans="2:6">
      <c r="B19" s="28" t="s">
        <v>132</v>
      </c>
      <c r="C19" s="51"/>
      <c r="D19" s="52"/>
      <c r="E19" s="28" t="s">
        <v>127</v>
      </c>
      <c r="F19" s="15"/>
    </row>
    <row r="20" spans="2:6">
      <c r="B20" s="53" t="s">
        <v>133</v>
      </c>
      <c r="C20" s="54"/>
      <c r="D20" s="55"/>
      <c r="E20" s="53" t="s">
        <v>129</v>
      </c>
      <c r="F20" s="27"/>
    </row>
  </sheetData>
  <mergeCells count="10">
    <mergeCell ref="C7:C8"/>
    <mergeCell ref="D7:D8"/>
    <mergeCell ref="J7:J8"/>
    <mergeCell ref="N7:N8"/>
    <mergeCell ref="I2:J2"/>
    <mergeCell ref="M2:N2"/>
    <mergeCell ref="C4:C5"/>
    <mergeCell ref="D4:D5"/>
    <mergeCell ref="J4:J5"/>
    <mergeCell ref="N4:N5"/>
  </mergeCells>
  <pageMargins left="0.7" right="0.7" top="0.75" bottom="0.75" header="0.3" footer="0.3"/>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N23"/>
  <sheetViews>
    <sheetView workbookViewId="0" xr3:uid="{9B253EF2-77E0-53E3-AE26-4D66ECD923F3}"/>
  </sheetViews>
  <sheetFormatPr defaultRowHeight="14.25"/>
  <cols>
    <col min="1" max="2" width="2.7109375" style="3" customWidth="1"/>
    <col min="3" max="3" width="50.7109375" style="3" customWidth="1"/>
    <col min="4" max="4" width="5.7109375" style="41" customWidth="1"/>
    <col min="5" max="5" width="50.7109375" style="42" customWidth="1"/>
    <col min="6" max="6" width="2.7109375" style="3" customWidth="1"/>
    <col min="7" max="7" width="9.140625" style="3"/>
    <col min="8" max="8" width="2.7109375" style="3" customWidth="1"/>
    <col min="9" max="10" width="11.7109375" style="3" customWidth="1"/>
    <col min="11" max="12" width="2.7109375" style="3" customWidth="1"/>
    <col min="13" max="14" width="11.7109375" style="3" customWidth="1"/>
    <col min="15" max="16384" width="9.140625" style="3"/>
  </cols>
  <sheetData>
    <row r="2" spans="2:14" ht="19.5">
      <c r="B2" s="40" t="s">
        <v>134</v>
      </c>
      <c r="I2" s="72" t="s">
        <v>80</v>
      </c>
      <c r="J2" s="72"/>
      <c r="K2" s="2"/>
      <c r="L2" s="2"/>
      <c r="M2" s="72" t="s">
        <v>81</v>
      </c>
      <c r="N2" s="72"/>
    </row>
    <row r="4" spans="2:14">
      <c r="B4" s="43"/>
      <c r="C4" s="73" t="s">
        <v>135</v>
      </c>
      <c r="D4" s="74" t="s">
        <v>106</v>
      </c>
      <c r="E4" s="44" t="s">
        <v>136</v>
      </c>
      <c r="F4" s="45"/>
      <c r="H4" s="1"/>
      <c r="I4" s="46">
        <f>Tilinpäätös!C20</f>
        <v>23085.7</v>
      </c>
      <c r="J4" s="76">
        <f>I4/I5</f>
        <v>2.0539244470542179</v>
      </c>
      <c r="L4" s="1"/>
      <c r="M4" s="46">
        <f>Tilinpäätös!D20</f>
        <v>15820.2</v>
      </c>
      <c r="N4" s="76">
        <f>M4/M5</f>
        <v>1.5150110607816285</v>
      </c>
    </row>
    <row r="5" spans="2:14">
      <c r="B5" s="43"/>
      <c r="C5" s="73"/>
      <c r="D5" s="74"/>
      <c r="E5" s="47" t="s">
        <v>137</v>
      </c>
      <c r="F5" s="48"/>
      <c r="H5" s="1"/>
      <c r="I5" s="49">
        <f>Tilinpäätös!C25</f>
        <v>11239.800000000001</v>
      </c>
      <c r="J5" s="76"/>
      <c r="L5" s="1"/>
      <c r="M5" s="49">
        <f>Tilinpäätös!D25</f>
        <v>10442.300000000001</v>
      </c>
      <c r="N5" s="76"/>
    </row>
    <row r="7" spans="2:14">
      <c r="B7" s="43"/>
      <c r="C7" s="73" t="s">
        <v>138</v>
      </c>
      <c r="D7" s="74" t="s">
        <v>106</v>
      </c>
      <c r="E7" s="44" t="s">
        <v>139</v>
      </c>
      <c r="F7" s="45"/>
      <c r="H7" s="1"/>
      <c r="I7" s="46">
        <f>(Tilinpäätös!C19+Tilinpäätös!C20)</f>
        <v>40773.699999999997</v>
      </c>
      <c r="J7" s="76">
        <f>I7/I8</f>
        <v>3.627617929144646</v>
      </c>
      <c r="L7" s="1"/>
      <c r="M7" s="46">
        <f>(Tilinpäätös!D19+Tilinpäätös!D20)</f>
        <v>37011.699999999997</v>
      </c>
      <c r="N7" s="76">
        <f>M7/M8</f>
        <v>3.5444011376803952</v>
      </c>
    </row>
    <row r="8" spans="2:14">
      <c r="B8" s="43"/>
      <c r="C8" s="73"/>
      <c r="D8" s="74"/>
      <c r="E8" s="47" t="s">
        <v>137</v>
      </c>
      <c r="F8" s="48"/>
      <c r="H8" s="1"/>
      <c r="I8" s="49">
        <f>Tilinpäätös!C25</f>
        <v>11239.800000000001</v>
      </c>
      <c r="J8" s="76"/>
      <c r="L8" s="1"/>
      <c r="M8" s="49">
        <f>Tilinpäätös!D25</f>
        <v>10442.300000000001</v>
      </c>
      <c r="N8" s="76"/>
    </row>
    <row r="10" spans="2:14">
      <c r="B10" s="43"/>
      <c r="C10" s="73" t="s">
        <v>140</v>
      </c>
      <c r="D10" s="74" t="s">
        <v>106</v>
      </c>
      <c r="E10" s="44" t="s">
        <v>141</v>
      </c>
      <c r="F10" s="45"/>
      <c r="H10" s="1"/>
      <c r="I10" s="46">
        <f>(Tilinpäätös!C19+Tilinpäätös!C20-Tilinpäätös!C25)</f>
        <v>29533.899999999994</v>
      </c>
      <c r="J10" s="75">
        <f>I10/I11</f>
        <v>0.31409686476368731</v>
      </c>
      <c r="L10" s="1"/>
      <c r="M10" s="46">
        <f>(Tilinpäätös!D19+Tilinpäätös!D20-Tilinpäätös!D25)</f>
        <v>26569.399999999994</v>
      </c>
      <c r="N10" s="75">
        <f>M10/M11</f>
        <v>0.31787852865697169</v>
      </c>
    </row>
    <row r="11" spans="2:14">
      <c r="B11" s="43"/>
      <c r="C11" s="73"/>
      <c r="D11" s="74"/>
      <c r="E11" s="47" t="s">
        <v>108</v>
      </c>
      <c r="F11" s="48"/>
      <c r="H11" s="1"/>
      <c r="I11" s="49">
        <f>Tilinpäätös!C11</f>
        <v>94028.000000000015</v>
      </c>
      <c r="J11" s="75"/>
      <c r="L11" s="1"/>
      <c r="M11" s="49">
        <f>Tilinpäätös!D11</f>
        <v>83583.5</v>
      </c>
      <c r="N11" s="75"/>
    </row>
    <row r="15" spans="2:14">
      <c r="B15" s="50" t="s">
        <v>135</v>
      </c>
      <c r="C15" s="51"/>
      <c r="D15" s="52"/>
      <c r="E15" s="50" t="s">
        <v>142</v>
      </c>
      <c r="F15" s="17"/>
    </row>
    <row r="16" spans="2:14">
      <c r="B16" s="28" t="s">
        <v>143</v>
      </c>
      <c r="C16" s="51"/>
      <c r="D16" s="52"/>
      <c r="E16" s="28" t="s">
        <v>125</v>
      </c>
      <c r="F16" s="15"/>
    </row>
    <row r="17" spans="2:6">
      <c r="B17" s="28" t="s">
        <v>144</v>
      </c>
      <c r="C17" s="51"/>
      <c r="D17" s="52"/>
      <c r="E17" s="28" t="s">
        <v>127</v>
      </c>
      <c r="F17" s="15"/>
    </row>
    <row r="18" spans="2:6">
      <c r="B18" s="53" t="s">
        <v>145</v>
      </c>
      <c r="C18" s="54"/>
      <c r="D18" s="55"/>
      <c r="E18" s="53" t="s">
        <v>129</v>
      </c>
      <c r="F18" s="27"/>
    </row>
    <row r="20" spans="2:6">
      <c r="B20" s="50" t="s">
        <v>138</v>
      </c>
      <c r="C20" s="51"/>
      <c r="D20" s="52"/>
      <c r="E20" s="50" t="s">
        <v>142</v>
      </c>
      <c r="F20" s="17"/>
    </row>
    <row r="21" spans="2:6">
      <c r="B21" s="28" t="s">
        <v>146</v>
      </c>
      <c r="C21" s="51"/>
      <c r="D21" s="52"/>
      <c r="E21" s="28" t="s">
        <v>125</v>
      </c>
      <c r="F21" s="15"/>
    </row>
    <row r="22" spans="2:6">
      <c r="B22" s="56" t="s">
        <v>147</v>
      </c>
      <c r="C22" s="51"/>
      <c r="D22" s="52"/>
      <c r="E22" s="28" t="s">
        <v>127</v>
      </c>
      <c r="F22" s="15"/>
    </row>
    <row r="23" spans="2:6">
      <c r="B23" s="53" t="s">
        <v>148</v>
      </c>
      <c r="C23" s="54"/>
      <c r="D23" s="55"/>
      <c r="E23" s="53" t="s">
        <v>129</v>
      </c>
      <c r="F23" s="27"/>
    </row>
  </sheetData>
  <mergeCells count="14">
    <mergeCell ref="C7:C8"/>
    <mergeCell ref="D7:D8"/>
    <mergeCell ref="J7:J8"/>
    <mergeCell ref="N7:N8"/>
    <mergeCell ref="C10:C11"/>
    <mergeCell ref="D10:D11"/>
    <mergeCell ref="J10:J11"/>
    <mergeCell ref="N10:N11"/>
    <mergeCell ref="I2:J2"/>
    <mergeCell ref="M2:N2"/>
    <mergeCell ref="C4:C5"/>
    <mergeCell ref="D4:D5"/>
    <mergeCell ref="J4:J5"/>
    <mergeCell ref="N4:N5"/>
  </mergeCells>
  <pageMargins left="0.7" right="0.7" top="0.75" bottom="0.75" header="0.3" footer="0.3"/>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N37"/>
  <sheetViews>
    <sheetView tabSelected="1" workbookViewId="0" xr3:uid="{85D5C41F-068E-5C55-9968-509E7C2A5619}"/>
  </sheetViews>
  <sheetFormatPr defaultRowHeight="14.25"/>
  <cols>
    <col min="1" max="2" width="2.7109375" style="3" customWidth="1"/>
    <col min="3" max="3" width="50.7109375" style="3" customWidth="1"/>
    <col min="4" max="4" width="5.7109375" style="41" customWidth="1"/>
    <col min="5" max="5" width="50.7109375" style="42" customWidth="1"/>
    <col min="6" max="6" width="2.7109375" style="3" customWidth="1"/>
    <col min="7" max="7" width="9.140625" style="3"/>
    <col min="8" max="8" width="2.7109375" style="3" customWidth="1"/>
    <col min="9" max="10" width="11.7109375" style="3" customWidth="1"/>
    <col min="11" max="12" width="2.7109375" style="3" customWidth="1"/>
    <col min="13" max="14" width="11.7109375" style="3" customWidth="1"/>
    <col min="15" max="16384" width="9.140625" style="3"/>
  </cols>
  <sheetData>
    <row r="2" spans="2:14" ht="19.5">
      <c r="B2" s="40" t="s">
        <v>149</v>
      </c>
      <c r="I2" s="72" t="s">
        <v>80</v>
      </c>
      <c r="J2" s="72"/>
      <c r="K2" s="2"/>
      <c r="L2" s="2"/>
      <c r="M2" s="72" t="s">
        <v>81</v>
      </c>
      <c r="N2" s="72"/>
    </row>
    <row r="4" spans="2:14">
      <c r="B4" s="2" t="s">
        <v>97</v>
      </c>
    </row>
    <row r="5" spans="2:14">
      <c r="B5" s="2"/>
    </row>
    <row r="6" spans="2:14">
      <c r="B6" s="43"/>
      <c r="C6" s="73" t="s">
        <v>150</v>
      </c>
      <c r="D6" s="74" t="s">
        <v>106</v>
      </c>
      <c r="E6" s="44" t="s">
        <v>151</v>
      </c>
      <c r="F6" s="45"/>
      <c r="H6" s="1"/>
      <c r="I6" s="46">
        <f>Tilinpäätös!C21</f>
        <v>11961.400000000001</v>
      </c>
      <c r="J6" s="77">
        <f>I6/I7</f>
        <v>46.432030884417408</v>
      </c>
      <c r="L6" s="1"/>
      <c r="M6" s="46">
        <f>Tilinpäätös!D21</f>
        <v>6241.4000000000005</v>
      </c>
      <c r="N6" s="77">
        <f>M6/M7</f>
        <v>27.255510956109759</v>
      </c>
    </row>
    <row r="7" spans="2:14">
      <c r="B7" s="43"/>
      <c r="C7" s="73"/>
      <c r="D7" s="74"/>
      <c r="E7" s="47" t="s">
        <v>152</v>
      </c>
      <c r="F7" s="48"/>
      <c r="H7" s="1"/>
      <c r="I7" s="49">
        <f>(Tilinpäätös!C11/365)</f>
        <v>257.61095890410962</v>
      </c>
      <c r="J7" s="77"/>
      <c r="L7" s="1"/>
      <c r="M7" s="49">
        <f>(Tilinpäätös!D11/365)</f>
        <v>228.99589041095891</v>
      </c>
      <c r="N7" s="77"/>
    </row>
    <row r="9" spans="2:14">
      <c r="B9" s="43"/>
      <c r="C9" s="73" t="s">
        <v>153</v>
      </c>
      <c r="D9" s="74" t="s">
        <v>106</v>
      </c>
      <c r="E9" s="44">
        <v>365</v>
      </c>
      <c r="F9" s="45"/>
      <c r="H9" s="1"/>
      <c r="I9" s="46">
        <v>365</v>
      </c>
      <c r="J9" s="76">
        <f>I9/I10</f>
        <v>7.8609527312856358</v>
      </c>
      <c r="L9" s="1"/>
      <c r="M9" s="46">
        <v>365</v>
      </c>
      <c r="N9" s="76">
        <f>M9/M10</f>
        <v>13.39178709904829</v>
      </c>
    </row>
    <row r="10" spans="2:14">
      <c r="B10" s="43"/>
      <c r="C10" s="73"/>
      <c r="D10" s="74"/>
      <c r="E10" s="47" t="s">
        <v>154</v>
      </c>
      <c r="F10" s="48"/>
      <c r="H10" s="1"/>
      <c r="I10" s="49">
        <f>J6</f>
        <v>46.432030884417408</v>
      </c>
      <c r="J10" s="76"/>
      <c r="L10" s="1"/>
      <c r="M10" s="49">
        <f>N6</f>
        <v>27.255510956109759</v>
      </c>
      <c r="N10" s="76"/>
    </row>
    <row r="12" spans="2:14">
      <c r="B12" s="43"/>
      <c r="C12" s="73" t="s">
        <v>153</v>
      </c>
      <c r="D12" s="74" t="s">
        <v>106</v>
      </c>
      <c r="E12" s="44" t="s">
        <v>155</v>
      </c>
      <c r="F12" s="45"/>
      <c r="H12" s="1"/>
      <c r="I12" s="46">
        <f>Tilinpäätös!C11</f>
        <v>94028.000000000015</v>
      </c>
      <c r="J12" s="76">
        <f>I12/I13</f>
        <v>7.8609527312856358</v>
      </c>
      <c r="L12" s="1"/>
      <c r="M12" s="46">
        <f>Tilinpäätös!D11</f>
        <v>83583.5</v>
      </c>
      <c r="N12" s="76">
        <f>M12/M13</f>
        <v>13.391787099048289</v>
      </c>
    </row>
    <row r="13" spans="2:14">
      <c r="B13" s="43"/>
      <c r="C13" s="73"/>
      <c r="D13" s="74"/>
      <c r="E13" s="47" t="s">
        <v>156</v>
      </c>
      <c r="F13" s="48"/>
      <c r="H13" s="1"/>
      <c r="I13" s="49">
        <f>Tilinpäätös!C21</f>
        <v>11961.400000000001</v>
      </c>
      <c r="J13" s="76"/>
      <c r="L13" s="1"/>
      <c r="M13" s="49">
        <f>Tilinpäätös!D21</f>
        <v>6241.4000000000005</v>
      </c>
      <c r="N13" s="76"/>
    </row>
    <row r="15" spans="2:14">
      <c r="B15" s="2" t="s">
        <v>100</v>
      </c>
    </row>
    <row r="16" spans="2:14">
      <c r="B16" s="2"/>
    </row>
    <row r="17" spans="2:14">
      <c r="B17" s="43"/>
      <c r="C17" s="73" t="s">
        <v>157</v>
      </c>
      <c r="D17" s="74" t="s">
        <v>106</v>
      </c>
      <c r="E17" s="44" t="s">
        <v>158</v>
      </c>
      <c r="F17" s="45"/>
      <c r="H17" s="1"/>
      <c r="I17" s="46">
        <f>Tilinpäätös!C24</f>
        <v>5203</v>
      </c>
      <c r="J17" s="77">
        <f>I17/I18</f>
        <v>89.914587781886354</v>
      </c>
      <c r="L17" s="1"/>
      <c r="M17" s="46">
        <f>Tilinpäätös!D24</f>
        <v>4647.5</v>
      </c>
      <c r="N17" s="77">
        <f>M17/M18</f>
        <v>68.217508626028476</v>
      </c>
    </row>
    <row r="18" spans="2:14">
      <c r="B18" s="43"/>
      <c r="C18" s="73"/>
      <c r="D18" s="74"/>
      <c r="E18" s="47" t="s">
        <v>159</v>
      </c>
      <c r="F18" s="48"/>
      <c r="H18" s="1"/>
      <c r="I18" s="49">
        <f>(Tilinpäätös!C22/365)</f>
        <v>57.866027397260282</v>
      </c>
      <c r="J18" s="77"/>
      <c r="L18" s="1"/>
      <c r="M18" s="49">
        <f>(Tilinpäätös!D22/365)</f>
        <v>68.127671232876722</v>
      </c>
      <c r="N18" s="77"/>
    </row>
    <row r="20" spans="2:14">
      <c r="B20" s="43"/>
      <c r="C20" s="73" t="s">
        <v>160</v>
      </c>
      <c r="D20" s="74" t="s">
        <v>106</v>
      </c>
      <c r="E20" s="44">
        <v>365</v>
      </c>
      <c r="F20" s="45"/>
      <c r="H20" s="1"/>
      <c r="I20" s="46">
        <v>365</v>
      </c>
      <c r="J20" s="76">
        <f>I20/I21</f>
        <v>4.0594080338266387</v>
      </c>
      <c r="L20" s="1"/>
      <c r="M20" s="46">
        <v>365</v>
      </c>
      <c r="N20" s="76">
        <f>M20/M21</f>
        <v>5.3505325443786989</v>
      </c>
    </row>
    <row r="21" spans="2:14">
      <c r="B21" s="43"/>
      <c r="C21" s="73"/>
      <c r="D21" s="74"/>
      <c r="E21" s="47" t="s">
        <v>161</v>
      </c>
      <c r="F21" s="48"/>
      <c r="H21" s="1"/>
      <c r="I21" s="49">
        <f>J17</f>
        <v>89.914587781886354</v>
      </c>
      <c r="J21" s="76"/>
      <c r="L21" s="1"/>
      <c r="M21" s="49">
        <f>N17</f>
        <v>68.217508626028476</v>
      </c>
      <c r="N21" s="76"/>
    </row>
    <row r="23" spans="2:14">
      <c r="B23" s="43"/>
      <c r="C23" s="73" t="s">
        <v>160</v>
      </c>
      <c r="D23" s="74" t="s">
        <v>106</v>
      </c>
      <c r="E23" s="44" t="s">
        <v>162</v>
      </c>
      <c r="F23" s="45"/>
      <c r="H23" s="1"/>
      <c r="I23" s="46">
        <f>Tilinpäätös!C22</f>
        <v>21121.100000000002</v>
      </c>
      <c r="J23" s="76">
        <f>I23/I24</f>
        <v>4.0594080338266387</v>
      </c>
      <c r="L23" s="1"/>
      <c r="M23" s="46">
        <f>Tilinpäätös!D22</f>
        <v>24866.600000000002</v>
      </c>
      <c r="N23" s="76">
        <f>M23/M24</f>
        <v>5.3505325443786989</v>
      </c>
    </row>
    <row r="24" spans="2:14">
      <c r="B24" s="43"/>
      <c r="C24" s="73"/>
      <c r="D24" s="74"/>
      <c r="E24" s="47" t="s">
        <v>163</v>
      </c>
      <c r="F24" s="48"/>
      <c r="H24" s="1"/>
      <c r="I24" s="49">
        <f>Tilinpäätös!C24</f>
        <v>5203</v>
      </c>
      <c r="J24" s="76"/>
      <c r="L24" s="1"/>
      <c r="M24" s="49">
        <f>Tilinpäätös!D24</f>
        <v>4647.5</v>
      </c>
      <c r="N24" s="76"/>
    </row>
    <row r="26" spans="2:14">
      <c r="B26" s="2" t="s">
        <v>164</v>
      </c>
    </row>
    <row r="27" spans="2:14">
      <c r="B27" s="2"/>
    </row>
    <row r="28" spans="2:14">
      <c r="B28" s="43"/>
      <c r="C28" s="73" t="s">
        <v>165</v>
      </c>
      <c r="D28" s="74" t="s">
        <v>106</v>
      </c>
      <c r="E28" s="44" t="s">
        <v>166</v>
      </c>
      <c r="F28" s="45"/>
      <c r="H28" s="1"/>
      <c r="I28" s="46">
        <f>Tilinpäätös!C19</f>
        <v>17688</v>
      </c>
      <c r="J28" s="77">
        <f>I28/I29</f>
        <v>305.67157960522883</v>
      </c>
      <c r="L28" s="1"/>
      <c r="M28" s="46">
        <f>Tilinpäätös!D19</f>
        <v>21191.5</v>
      </c>
      <c r="N28" s="77">
        <f>M28/M29</f>
        <v>311.05569317880202</v>
      </c>
    </row>
    <row r="29" spans="2:14">
      <c r="B29" s="43"/>
      <c r="C29" s="73"/>
      <c r="D29" s="74"/>
      <c r="E29" s="47" t="s">
        <v>159</v>
      </c>
      <c r="F29" s="48"/>
      <c r="H29" s="1"/>
      <c r="I29" s="49">
        <f>(Tilinpäätös!C22/365)</f>
        <v>57.866027397260282</v>
      </c>
      <c r="J29" s="77"/>
      <c r="L29" s="1"/>
      <c r="M29" s="49">
        <f>(Tilinpäätös!D22/365)</f>
        <v>68.127671232876722</v>
      </c>
      <c r="N29" s="77"/>
    </row>
    <row r="31" spans="2:14">
      <c r="B31" s="43"/>
      <c r="C31" s="73" t="s">
        <v>167</v>
      </c>
      <c r="D31" s="74" t="s">
        <v>106</v>
      </c>
      <c r="E31" s="44">
        <v>365</v>
      </c>
      <c r="F31" s="45"/>
      <c r="H31" s="1"/>
      <c r="I31" s="46">
        <v>365</v>
      </c>
      <c r="J31" s="76">
        <f>I31/I32</f>
        <v>1.1940920398009953</v>
      </c>
      <c r="L31" s="1"/>
      <c r="M31" s="46">
        <v>365</v>
      </c>
      <c r="N31" s="76">
        <f>M31/M32</f>
        <v>1.1734233065144046</v>
      </c>
    </row>
    <row r="32" spans="2:14">
      <c r="B32" s="43"/>
      <c r="C32" s="73"/>
      <c r="D32" s="74"/>
      <c r="E32" s="47" t="s">
        <v>168</v>
      </c>
      <c r="F32" s="48"/>
      <c r="H32" s="1"/>
      <c r="I32" s="49">
        <f>J28</f>
        <v>305.67157960522883</v>
      </c>
      <c r="J32" s="76"/>
      <c r="L32" s="1"/>
      <c r="M32" s="49">
        <f>N28</f>
        <v>311.05569317880202</v>
      </c>
      <c r="N32" s="76"/>
    </row>
    <row r="34" spans="2:14">
      <c r="B34" s="2" t="s">
        <v>169</v>
      </c>
    </row>
    <row r="35" spans="2:14">
      <c r="B35" s="2"/>
    </row>
    <row r="36" spans="2:14">
      <c r="B36" s="43"/>
      <c r="C36" s="73" t="s">
        <v>170</v>
      </c>
      <c r="D36" s="74" t="s">
        <v>106</v>
      </c>
      <c r="E36" s="57" t="s">
        <v>171</v>
      </c>
      <c r="F36" s="45"/>
      <c r="H36" s="1"/>
      <c r="I36" s="58"/>
      <c r="J36" s="78">
        <f>J6+J28-J17</f>
        <v>262.18902270775993</v>
      </c>
      <c r="K36" s="14"/>
      <c r="L36" s="59"/>
      <c r="M36" s="58"/>
      <c r="N36" s="78">
        <f>N6+N28-N17</f>
        <v>270.09369550888334</v>
      </c>
    </row>
    <row r="37" spans="2:14">
      <c r="B37" s="43"/>
      <c r="C37" s="73"/>
      <c r="D37" s="74"/>
      <c r="E37" s="47" t="s">
        <v>161</v>
      </c>
      <c r="F37" s="48"/>
      <c r="H37" s="1"/>
      <c r="I37" s="58"/>
      <c r="J37" s="78"/>
      <c r="K37" s="14"/>
      <c r="L37" s="59"/>
      <c r="M37" s="58"/>
      <c r="N37" s="78"/>
    </row>
  </sheetData>
  <mergeCells count="38">
    <mergeCell ref="C31:C32"/>
    <mergeCell ref="D31:D32"/>
    <mergeCell ref="J31:J32"/>
    <mergeCell ref="N31:N32"/>
    <mergeCell ref="C36:C37"/>
    <mergeCell ref="D36:D37"/>
    <mergeCell ref="J36:J37"/>
    <mergeCell ref="N36:N37"/>
    <mergeCell ref="C23:C24"/>
    <mergeCell ref="D23:D24"/>
    <mergeCell ref="J23:J24"/>
    <mergeCell ref="N23:N24"/>
    <mergeCell ref="C28:C29"/>
    <mergeCell ref="D28:D29"/>
    <mergeCell ref="J28:J29"/>
    <mergeCell ref="N28:N29"/>
    <mergeCell ref="C17:C18"/>
    <mergeCell ref="D17:D18"/>
    <mergeCell ref="J17:J18"/>
    <mergeCell ref="N17:N18"/>
    <mergeCell ref="C20:C21"/>
    <mergeCell ref="D20:D21"/>
    <mergeCell ref="J20:J21"/>
    <mergeCell ref="N20:N21"/>
    <mergeCell ref="C9:C10"/>
    <mergeCell ref="D9:D10"/>
    <mergeCell ref="J9:J10"/>
    <mergeCell ref="N9:N10"/>
    <mergeCell ref="C12:C13"/>
    <mergeCell ref="D12:D13"/>
    <mergeCell ref="J12:J13"/>
    <mergeCell ref="N12:N13"/>
    <mergeCell ref="I2:J2"/>
    <mergeCell ref="M2:N2"/>
    <mergeCell ref="C6:C7"/>
    <mergeCell ref="D6:D7"/>
    <mergeCell ref="J6:J7"/>
    <mergeCell ref="N6:N7"/>
  </mergeCells>
  <pageMargins left="0.7" right="0.7" top="0.75" bottom="0.75" header="0.3" footer="0.3"/>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JAMK</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Laaksonen Aki</dc:creator>
  <cp:keywords/>
  <dc:description/>
  <cp:lastModifiedBy>Laaksonen Aki</cp:lastModifiedBy>
  <cp:revision/>
  <dcterms:created xsi:type="dcterms:W3CDTF">2018-12-19T11:38:52Z</dcterms:created>
  <dcterms:modified xsi:type="dcterms:W3CDTF">2019-01-18T10:06:13Z</dcterms:modified>
  <cp:category/>
  <cp:contentStatus/>
</cp:coreProperties>
</file>